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hidePivotFieldList="1"/>
  <workbookProtection workbookPassword="C70D" lockStructure="1"/>
  <bookViews>
    <workbookView windowWidth="19290" windowHeight="11250" tabRatio="855" firstSheet="3" activeTab="20"/>
  </bookViews>
  <sheets>
    <sheet name="目录" sheetId="16" state="hidden" r:id="rId1"/>
    <sheet name="表1-1" sheetId="27" r:id="rId2"/>
    <sheet name="表1-2" sheetId="1" r:id="rId3"/>
    <sheet name="表2" sheetId="2" r:id="rId4"/>
    <sheet name="表3" sheetId="3" r:id="rId5"/>
    <sheet name="表4-1" sheetId="26" r:id="rId6"/>
    <sheet name="表4-2" sheetId="4" r:id="rId7"/>
    <sheet name="表5" sheetId="5" r:id="rId8"/>
    <sheet name="表6" sheetId="6" r:id="rId9"/>
    <sheet name="表7" sheetId="35" r:id="rId10"/>
    <sheet name="表8" sheetId="8" r:id="rId11"/>
    <sheet name="表9" sheetId="10" r:id="rId12"/>
    <sheet name="表10-1 " sheetId="34" r:id="rId13"/>
    <sheet name="表10-2" sheetId="12" r:id="rId14"/>
    <sheet name="表11" sheetId="9" r:id="rId15"/>
    <sheet name="表12 " sheetId="30" r:id="rId16"/>
    <sheet name="表13" sheetId="31" r:id="rId17"/>
    <sheet name="表14" sheetId="32" r:id="rId18"/>
    <sheet name="表15" sheetId="33" r:id="rId19"/>
    <sheet name="表16" sheetId="17" r:id="rId20"/>
    <sheet name="表17" sheetId="15" r:id="rId21"/>
  </sheets>
  <externalReferences>
    <externalReference r:id="rId22"/>
    <externalReference r:id="rId23"/>
    <externalReference r:id="rId24"/>
    <externalReference r:id="rId25"/>
  </externalReferences>
  <definedNames>
    <definedName name="_xlnm._FilterDatabase" localSheetId="9" hidden="1">表7!$A$4:$M$325</definedName>
    <definedName name="_xlnm._FilterDatabase" localSheetId="11" hidden="1">表9!$A$6:$Q$312</definedName>
    <definedName name="_xlnm._FilterDatabase" localSheetId="12" hidden="1">'表10-1 '!$A$5:$N$2706</definedName>
    <definedName name="_xlnm._FilterDatabase" localSheetId="13" hidden="1">'表10-2'!$A$5:$N$1312</definedName>
    <definedName name="_xlnm._FilterDatabase" localSheetId="15" hidden="1">'表12 '!$A$5:$H$295</definedName>
    <definedName name="_xlnm._FilterDatabase" localSheetId="16" hidden="1">表13!$A$5:$G$420</definedName>
    <definedName name="_xlnm._FilterDatabase" localSheetId="17" hidden="1">表14!$A$4:$P$294</definedName>
    <definedName name="_xlnm._FilterDatabase" localSheetId="18" hidden="1">表15!$A$4:$M$294</definedName>
    <definedName name="_xlnm._FilterDatabase" localSheetId="20" hidden="1">表17!$A$6:$V$292</definedName>
    <definedName name="_xlnm.Print_Area" localSheetId="12">'表10-1 '!$A$1:$M$1934</definedName>
    <definedName name="_xlnm.Print_Area" localSheetId="13">'表10-2'!$A$1:$M$1312</definedName>
    <definedName name="_xlnm.Print_Area" localSheetId="1">'表1-1'!$A$1:$F$34</definedName>
    <definedName name="_xlnm.Print_Area" localSheetId="2">'表1-2'!$A$1:$F$33</definedName>
    <definedName name="_xlnm.Print_Area" localSheetId="15">'表12 '!$A$1:$G$295</definedName>
    <definedName name="_xlnm.Print_Area" localSheetId="17">表14!$A$1:$O$294</definedName>
    <definedName name="_xlnm.Print_Area" localSheetId="18">表15!$A$1:$L$294</definedName>
    <definedName name="_xlnm.Print_Area" localSheetId="19">表16!$A$1:$E$13</definedName>
    <definedName name="_xlnm.Print_Area" localSheetId="20">表17!$A$1:$T$292</definedName>
    <definedName name="_xlnm.Print_Area" localSheetId="3">表2!$A$1:$F$28</definedName>
    <definedName name="_xlnm.Print_Area" localSheetId="5">'表4-1'!$A$1:$F$34</definedName>
    <definedName name="_xlnm.Print_Area" localSheetId="6">'表4-2'!$A$1:$F$33</definedName>
    <definedName name="_xlnm.Print_Area" localSheetId="7">表5!$A$1:$F$29</definedName>
    <definedName name="_xlnm.Print_Area" localSheetId="8">表6!$A$1:$F$22</definedName>
    <definedName name="_xlnm.Print_Area" localSheetId="11">表9!$A$7:$P$312</definedName>
    <definedName name="_xlnm.Print_Titles" localSheetId="12">'表10-1 '!$2:$5</definedName>
    <definedName name="_xlnm.Print_Titles" localSheetId="13">'表10-2'!$2:$5</definedName>
    <definedName name="_xlnm.Print_Titles" localSheetId="15">'表12 '!$2:$5</definedName>
    <definedName name="_xlnm.Print_Titles" localSheetId="16">表13!$2:$5</definedName>
    <definedName name="_xlnm.Print_Titles" localSheetId="17">表14!$2:$4</definedName>
    <definedName name="_xlnm.Print_Titles" localSheetId="18">表15!$2:$4</definedName>
    <definedName name="_xlnm.Print_Titles" localSheetId="20">表17!$2:$6</definedName>
    <definedName name="_xlnm.Print_Titles" localSheetId="11">表9!$2:$6</definedName>
    <definedName name="_xlnm.Print_Area" localSheetId="4">表3!$A$1:$F$22</definedName>
    <definedName name="_xlnm.Print_Area" localSheetId="10">表8!$A$1:$F$5</definedName>
    <definedName name="_xlnm._FilterDatabase" localSheetId="6" hidden="1">'表4-2'!$A$1:$F$33</definedName>
    <definedName name="_xlnm.Print_Area" localSheetId="9">表7!$A$1:$G$325</definedName>
    <definedName name="_xlnm.Print_Titles" localSheetId="9">表7!$2:$4</definedName>
    <definedName name="_Fill" hidden="1">[4]eqpmad2!#REF!</definedName>
    <definedName name="_Order1" hidden="1">255</definedName>
    <definedName name="_Order2" hidden="1">255</definedName>
    <definedName name="人员2013" hidden="1">#N/A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熊小飞/预算处（编审中心）/湖北省财政厅</author>
    <author>admin</author>
  </authors>
  <commentList>
    <comment ref="A81" authorId="0">
      <text>
        <r>
          <rPr>
            <sz val="9"/>
            <rFont val="宋体"/>
            <charset val="134"/>
          </rPr>
          <t>注意人防指挥中心补助基数、洪湖湿地调整问题</t>
        </r>
      </text>
    </comment>
    <comment ref="A87" authorId="1">
      <text>
        <r>
          <rPr>
            <sz val="9"/>
            <rFont val="宋体"/>
            <charset val="134"/>
          </rPr>
          <t>admin:
2018年7-12月半年</t>
        </r>
      </text>
    </comment>
    <comment ref="A105" authorId="0">
      <text>
        <r>
          <rPr>
            <sz val="9"/>
            <rFont val="宋体"/>
            <charset val="134"/>
          </rPr>
          <t xml:space="preserve">2014年一次性补助2012-2014年1128万元，从2015年起每年376万元。
</t>
        </r>
      </text>
    </comment>
  </commentList>
</comments>
</file>

<file path=xl/sharedStrings.xml><?xml version="1.0" encoding="utf-8"?>
<sst xmlns="http://schemas.openxmlformats.org/spreadsheetml/2006/main" count="10531" uniqueCount="2761">
  <si>
    <t>目录</t>
  </si>
  <si>
    <t>表号</t>
  </si>
  <si>
    <t>标题</t>
  </si>
  <si>
    <t>备注</t>
  </si>
  <si>
    <t>表1-1</t>
  </si>
  <si>
    <t>2022年地方财政总收入执行情况表</t>
  </si>
  <si>
    <t>表1-2</t>
  </si>
  <si>
    <t>2022年一般公共预算收入执行情况表</t>
  </si>
  <si>
    <t>表2</t>
  </si>
  <si>
    <t>2022年一般公共预算支出执行情况表</t>
  </si>
  <si>
    <t>表3</t>
  </si>
  <si>
    <t>2022年一般公共预算收支执行平衡表</t>
  </si>
  <si>
    <t>表4-1</t>
  </si>
  <si>
    <t>2023年地方财政总收入预算表</t>
  </si>
  <si>
    <t>表4-2</t>
  </si>
  <si>
    <t>2023年一般公共预算收入预算表</t>
  </si>
  <si>
    <t>表5</t>
  </si>
  <si>
    <t>2023年一般公共预算支出预算表</t>
  </si>
  <si>
    <t>表6</t>
  </si>
  <si>
    <t>2023年一般公共预算收支平衡表</t>
  </si>
  <si>
    <t>表7</t>
  </si>
  <si>
    <t>2023年一般共预算上级转移支付表</t>
  </si>
  <si>
    <t>表8</t>
  </si>
  <si>
    <t>2022年本级政府一般债务限额和余额情况表</t>
  </si>
  <si>
    <t>表9</t>
  </si>
  <si>
    <t>2023年部门预算收入来源分类汇总表</t>
  </si>
  <si>
    <t>表10-1</t>
  </si>
  <si>
    <t>2023年部门预算人员类和公用经费类项目支出表</t>
  </si>
  <si>
    <t>表10-2</t>
  </si>
  <si>
    <t>2023年部门预算其他运转类和特定目标类项目支出表</t>
  </si>
  <si>
    <t>表11</t>
  </si>
  <si>
    <t>2023年一般公共预算财政拨款收支预算总表</t>
  </si>
  <si>
    <t>表12</t>
  </si>
  <si>
    <t>2023年一般公共预算预算支出表（支出类别分类）</t>
  </si>
  <si>
    <t>表13</t>
  </si>
  <si>
    <t>2023年一般公共预算预算支出表（功能项级分类）</t>
  </si>
  <si>
    <t>表14</t>
  </si>
  <si>
    <t>2023年一般公共预算预算支出表（政府经济分类）</t>
  </si>
  <si>
    <t>表15</t>
  </si>
  <si>
    <t>2023年一般公共预算预算支出表（部门经济分类）</t>
  </si>
  <si>
    <t>表16</t>
  </si>
  <si>
    <t>2023年一般公共预算“五公”经费表</t>
  </si>
  <si>
    <t>表17</t>
  </si>
  <si>
    <t>2023年部门预算单位基本信息表（编制与人员）</t>
  </si>
  <si>
    <t>2023年地方财政总收入执行情况表</t>
  </si>
  <si>
    <t>单位：万元</t>
  </si>
  <si>
    <t>收入项目</t>
  </si>
  <si>
    <t>2022年
决算数</t>
  </si>
  <si>
    <t>2023年
调整预算数</t>
  </si>
  <si>
    <t>2023年
执行数</t>
  </si>
  <si>
    <t>2023年执行数
占调整预算%</t>
  </si>
  <si>
    <t>增幅%</t>
  </si>
  <si>
    <t>地方财政总收入合计</t>
  </si>
  <si>
    <t>一、税收收入</t>
  </si>
  <si>
    <t>1.增值税</t>
  </si>
  <si>
    <t>2.消费税</t>
  </si>
  <si>
    <t>3.企业所得税</t>
  </si>
  <si>
    <t>4.个人所得税</t>
  </si>
  <si>
    <t>5.资源税</t>
  </si>
  <si>
    <t>6.城市维护建设税</t>
  </si>
  <si>
    <t>7.房产税</t>
  </si>
  <si>
    <t>8.印花税</t>
  </si>
  <si>
    <t>9.城镇土地使用税</t>
  </si>
  <si>
    <t>10.土地增值税</t>
  </si>
  <si>
    <t>11.车船使用和牌照税</t>
  </si>
  <si>
    <t>12.耕地占用税</t>
  </si>
  <si>
    <t>13.契税</t>
  </si>
  <si>
    <t>14.环保税</t>
  </si>
  <si>
    <t>二、非税收入</t>
  </si>
  <si>
    <t>1.专项收入</t>
  </si>
  <si>
    <t>教育费附加</t>
  </si>
  <si>
    <t>地方教育附加</t>
  </si>
  <si>
    <t>残疾人保障金</t>
  </si>
  <si>
    <t>农田水利收入</t>
  </si>
  <si>
    <t>教育资金收入</t>
  </si>
  <si>
    <t>其他专项收入</t>
  </si>
  <si>
    <t>2.行政性收费收入</t>
  </si>
  <si>
    <t>3.罚没收入</t>
  </si>
  <si>
    <t>4.国有资本经营收入</t>
  </si>
  <si>
    <t>5.国有资产有偿使用收入</t>
  </si>
  <si>
    <t>6.政府住房基金收入</t>
  </si>
  <si>
    <t>7.其他收入</t>
  </si>
  <si>
    <t>2023年一般公共预算收入执行情况表</t>
  </si>
  <si>
    <t>一般公共预算收入合计</t>
  </si>
  <si>
    <t>2.企业所得税</t>
  </si>
  <si>
    <t>3.个人所得税</t>
  </si>
  <si>
    <t>4.资源税</t>
  </si>
  <si>
    <t>5.城市维护建设税</t>
  </si>
  <si>
    <t>6.房产税</t>
  </si>
  <si>
    <t>7.印花税</t>
  </si>
  <si>
    <t>8.城镇土地使用税</t>
  </si>
  <si>
    <t>9.土地增值税</t>
  </si>
  <si>
    <t>10.车船使用和牌照税</t>
  </si>
  <si>
    <t>11.耕地占用税</t>
  </si>
  <si>
    <t>12.契税</t>
  </si>
  <si>
    <t>13.环保税</t>
  </si>
  <si>
    <t>2023年一般公共预算支出执行情况表</t>
  </si>
  <si>
    <t>支出项目</t>
  </si>
  <si>
    <t>一般公共预算支出合计</t>
  </si>
  <si>
    <t>201  一般公共服务支出</t>
  </si>
  <si>
    <t>203  国防支出</t>
  </si>
  <si>
    <t>204  公共安全支出</t>
  </si>
  <si>
    <t>205  教育支出</t>
  </si>
  <si>
    <t>206  科学技术支出</t>
  </si>
  <si>
    <t>207  文化旅游体育与传媒支出</t>
  </si>
  <si>
    <t>208  社会保障和就业支出</t>
  </si>
  <si>
    <t>210  卫生健康支出</t>
  </si>
  <si>
    <t>211  节能环保支出</t>
  </si>
  <si>
    <t>212  城乡社区支出</t>
  </si>
  <si>
    <t>213  农林水支出</t>
  </si>
  <si>
    <t>214  交通运输支出</t>
  </si>
  <si>
    <t>215  资源勘探工业信息等支出</t>
  </si>
  <si>
    <t>216  商业服务业等支出</t>
  </si>
  <si>
    <t>217  金融支出</t>
  </si>
  <si>
    <t>219  援助其他地区支出</t>
  </si>
  <si>
    <t>220  自然资源海洋气象等支出</t>
  </si>
  <si>
    <t>221  住房保障支出</t>
  </si>
  <si>
    <t>222  粮油物资储备支出</t>
  </si>
  <si>
    <t>224  灾害防治及应急管理支出</t>
  </si>
  <si>
    <t>229  其他支出</t>
  </si>
  <si>
    <t>232  债务付息支出</t>
  </si>
  <si>
    <t>233  债务发行费用支出</t>
  </si>
  <si>
    <t>2023年一般公共预算收支执行平衡表</t>
  </si>
  <si>
    <t>收                  入</t>
  </si>
  <si>
    <t>支                  出</t>
  </si>
  <si>
    <t>项目</t>
  </si>
  <si>
    <t>2023年调整预算数</t>
  </si>
  <si>
    <t>2023年执行数</t>
  </si>
  <si>
    <t>一、一般公共预算收入</t>
  </si>
  <si>
    <t>一、一般公共预算支出</t>
  </si>
  <si>
    <t>二、转移性收入</t>
  </si>
  <si>
    <t>二、转移性支出</t>
  </si>
  <si>
    <t>1.上级补助收入</t>
  </si>
  <si>
    <t>1.上解上级支出</t>
  </si>
  <si>
    <t xml:space="preserve">  (1)返还性收入</t>
  </si>
  <si>
    <t>(1)原体制上解支出</t>
  </si>
  <si>
    <t xml:space="preserve">  (2)一般性转移支付收入</t>
  </si>
  <si>
    <t>(2)调整体制上解支出</t>
  </si>
  <si>
    <t xml:space="preserve">  (3)专项转移支付收入</t>
  </si>
  <si>
    <t>(3)其他上解支出</t>
  </si>
  <si>
    <t>2.债务转贷收入</t>
  </si>
  <si>
    <t>2.债务还本支出</t>
  </si>
  <si>
    <t>3.上年结余收入</t>
  </si>
  <si>
    <t>3.安排预算稳定调节基金</t>
  </si>
  <si>
    <t xml:space="preserve">  (1)上年结转</t>
  </si>
  <si>
    <t>4.调出资金</t>
  </si>
  <si>
    <t xml:space="preserve">  (2)净结余</t>
  </si>
  <si>
    <t>5.年终结余</t>
  </si>
  <si>
    <t>4.调入资金</t>
  </si>
  <si>
    <t xml:space="preserve">   减：结转下年支出</t>
  </si>
  <si>
    <t xml:space="preserve">  (1)从政府性基金调入</t>
  </si>
  <si>
    <t xml:space="preserve">       累计净结余</t>
  </si>
  <si>
    <t xml:space="preserve">  (2)从国有资本经营调入</t>
  </si>
  <si>
    <t xml:space="preserve">  (3)从其他资金调入</t>
  </si>
  <si>
    <t>5.动用预算稳定调节基金</t>
  </si>
  <si>
    <t>收入总计</t>
  </si>
  <si>
    <t>支出总计</t>
  </si>
  <si>
    <t>2024年地方财政总收入预算表</t>
  </si>
  <si>
    <t>2023年调
整预算数</t>
  </si>
  <si>
    <t>2024年
预算数</t>
  </si>
  <si>
    <t>与调整预算
相比增幅%</t>
  </si>
  <si>
    <t>与执行数
相比增长%</t>
  </si>
  <si>
    <t>2024年一般公共预算收入预算表</t>
  </si>
  <si>
    <t>2022年
调整预算数</t>
  </si>
  <si>
    <t>税占比</t>
  </si>
  <si>
    <t>非税局数据</t>
  </si>
  <si>
    <t>乡镇</t>
  </si>
  <si>
    <t>其他预估</t>
  </si>
  <si>
    <t>2024年一般公共预算支出预算表</t>
  </si>
  <si>
    <t>2024年预算数</t>
  </si>
  <si>
    <t>各支出占比%</t>
  </si>
  <si>
    <t>227  预备费</t>
  </si>
  <si>
    <t>2024年一般公共预算收支平衡表</t>
  </si>
  <si>
    <t>2024年一般公共预算税收返还和上级转移支付表</t>
  </si>
  <si>
    <t>科目</t>
  </si>
  <si>
    <t>2024年
预算数合计</t>
  </si>
  <si>
    <t>本级
统筹财力</t>
  </si>
  <si>
    <t>上级专项</t>
  </si>
  <si>
    <t>提前下达文号</t>
  </si>
  <si>
    <t>分类</t>
  </si>
  <si>
    <t>固定数</t>
  </si>
  <si>
    <t>提前下达数</t>
  </si>
  <si>
    <t>支出科目</t>
  </si>
  <si>
    <t>合计</t>
  </si>
  <si>
    <t>一、返还性收入</t>
  </si>
  <si>
    <t>1.增值税税收返还收入</t>
  </si>
  <si>
    <t>鄂财预发[2023]59号</t>
  </si>
  <si>
    <t>返还性</t>
  </si>
  <si>
    <t>2.消费税返还基数</t>
  </si>
  <si>
    <t>3.营改增税收返还收入</t>
  </si>
  <si>
    <t>4.财政体制调整核定返还基数</t>
  </si>
  <si>
    <t>5.成品油价格与税费改革返还基数</t>
  </si>
  <si>
    <t>二、一般转移性收入</t>
  </si>
  <si>
    <t>1.体制补助收入</t>
  </si>
  <si>
    <t>2.均衡性转移支付</t>
  </si>
  <si>
    <t xml:space="preserve">  森林植被恢复资金</t>
  </si>
  <si>
    <t xml:space="preserve">  省级城乡建设发展引导资金（城乡基础 设施建设）</t>
  </si>
  <si>
    <t xml:space="preserve">  省级城乡建设发展引导资金（城乡生活 垃圾分类）</t>
  </si>
  <si>
    <t xml:space="preserve">  省级建筑节能以奖代补资金</t>
  </si>
  <si>
    <t xml:space="preserve">  省级乡镇生活污水治理以奖代补资金</t>
  </si>
  <si>
    <t xml:space="preserve">  省级生态环境保护以奖代补资金</t>
  </si>
  <si>
    <t xml:space="preserve">  省级住建转移支付预算</t>
  </si>
  <si>
    <t xml:space="preserve">  税务系统省级财政统筹经费资金</t>
  </si>
  <si>
    <t xml:space="preserve">  农村客运补贴资金和城市交通发展奖励资金</t>
  </si>
  <si>
    <t xml:space="preserve">  全省适龄妇女宫颈癌筛查经费</t>
  </si>
  <si>
    <t xml:space="preserve">  省级基层治理创新引导资金</t>
  </si>
  <si>
    <t xml:space="preserve">  省级平安建设（综治工作）激励性转移支付资金</t>
  </si>
  <si>
    <t xml:space="preserve">  乡镇公社老放映员省级补助资金基数</t>
  </si>
  <si>
    <t>不下文</t>
  </si>
  <si>
    <t>基数性</t>
  </si>
  <si>
    <t xml:space="preserve">  省级交通运输一般性转移支付基数（行业管理经费）</t>
  </si>
  <si>
    <t xml:space="preserve">  原均衡性转移支付基数</t>
  </si>
  <si>
    <t>基数性（均衡性）</t>
  </si>
  <si>
    <t xml:space="preserve">  原政策性转移支付基数</t>
  </si>
  <si>
    <t>基数性（增量返还）</t>
  </si>
  <si>
    <t xml:space="preserve">  省级森林公安转移支付基数</t>
  </si>
  <si>
    <t xml:space="preserve">  农业转移人口市民化奖补资金</t>
  </si>
  <si>
    <t>财力性</t>
  </si>
  <si>
    <t xml:space="preserve">  省级林业生态文明建设资金(省级公益林补偿)</t>
  </si>
  <si>
    <t>3.县级基本财力保障补助</t>
  </si>
  <si>
    <t xml:space="preserve">  离职村干部岗位补贴补助（基数）</t>
  </si>
  <si>
    <t>财力性-县级基本财力</t>
  </si>
  <si>
    <t xml:space="preserve">  在职村干部转移支付补助（基数）</t>
  </si>
  <si>
    <t xml:space="preserve">  村主职干部报酬转移支付（基数）</t>
  </si>
  <si>
    <t xml:space="preserve">  村级运转补助（农村税费改革补助划转）</t>
  </si>
  <si>
    <t xml:space="preserve">  省级重点贫困村补助资金（基数）</t>
  </si>
  <si>
    <t xml:space="preserve">  新增村级组织运转经费保障</t>
  </si>
  <si>
    <t xml:space="preserve">  村主职干部养老保险缴费补贴</t>
  </si>
  <si>
    <t xml:space="preserve">  原规范津补贴和绩效工资补助</t>
  </si>
  <si>
    <t xml:space="preserve">  2014年新增规范津补贴和绩效工资补助</t>
  </si>
  <si>
    <t xml:space="preserve">  义务教育绩效工资</t>
  </si>
  <si>
    <t xml:space="preserve">  公共卫生绩效工资</t>
  </si>
  <si>
    <t xml:space="preserve">  取消涉企收费补助基数</t>
  </si>
  <si>
    <t xml:space="preserve">  “以钱养事”补助（基数）</t>
  </si>
  <si>
    <t xml:space="preserve">  县级基本财力保障转移支付（统筹使用）</t>
  </si>
  <si>
    <t>4.结算补助收入</t>
  </si>
  <si>
    <t xml:space="preserve">  市（州）对县（市）的结算补助</t>
  </si>
  <si>
    <t xml:space="preserve">    中央基建投资预算</t>
  </si>
  <si>
    <t xml:space="preserve">    省预算内基建投资和省级服务业发展引导资金的通知</t>
  </si>
  <si>
    <t xml:space="preserve">    棉花大县奖励省级统筹资金</t>
  </si>
  <si>
    <t xml:space="preserve">    中央实际种粮农民一次性补贴资金</t>
  </si>
  <si>
    <t xml:space="preserve">    棉花大县奖励资金</t>
  </si>
  <si>
    <t xml:space="preserve">    博物馆纪念馆免费开放中央补助资金</t>
  </si>
  <si>
    <t>鄂财教发[2023]100号</t>
  </si>
  <si>
    <t>转移支付-一般</t>
  </si>
  <si>
    <t>2070205</t>
  </si>
  <si>
    <t xml:space="preserve">    下派选调生到村工作中央财政补助资金</t>
  </si>
  <si>
    <t>鄂财行发[2023]48号</t>
  </si>
  <si>
    <t xml:space="preserve">    高校毕业生“三支一扶”计划中央财政补助资金</t>
  </si>
  <si>
    <t>鄂财社发[2023]119号</t>
  </si>
  <si>
    <t xml:space="preserve">    公共图书馆、美术馆、文化馆（站）免费开放中央补助资金</t>
  </si>
  <si>
    <t>鄂财教发[2023]96号</t>
  </si>
  <si>
    <t>20701</t>
  </si>
  <si>
    <t xml:space="preserve">    2020-2022年度跨省异地交通违法罚款收入</t>
  </si>
  <si>
    <t xml:space="preserve">    高校毕业生“三支一扶”计划补助资金</t>
  </si>
  <si>
    <t xml:space="preserve">     棉花大县奖励资金</t>
  </si>
  <si>
    <t xml:space="preserve">    高校毕业生 “三支一扶”计划省级财政补助资金</t>
  </si>
  <si>
    <t xml:space="preserve">    疫情防控财力补助资金</t>
  </si>
  <si>
    <t xml:space="preserve">    医务人员临时性工作补助资金</t>
  </si>
  <si>
    <t xml:space="preserve">    新冠患者救治费用</t>
  </si>
  <si>
    <t>5.资源枯竭型城市补助</t>
  </si>
  <si>
    <t xml:space="preserve">  资源枯竭型城市补助</t>
  </si>
  <si>
    <t>6.产粮油大县奖励资金</t>
  </si>
  <si>
    <t xml:space="preserve">  产粮大县奖励资金</t>
  </si>
  <si>
    <t>鄂财产发[2023]100号</t>
  </si>
  <si>
    <t>转移支付-共同事权</t>
  </si>
  <si>
    <t>2300225</t>
  </si>
  <si>
    <t>7.重点生态功能区转移支付</t>
  </si>
  <si>
    <t xml:space="preserve">  重点生态功能区转移支付</t>
  </si>
  <si>
    <t>8.固定补助收入</t>
  </si>
  <si>
    <t xml:space="preserve">  定额结算补助收入</t>
  </si>
  <si>
    <t>基数性（定额结算）</t>
  </si>
  <si>
    <t xml:space="preserve">  固投调节税暂停征收财政减收补助</t>
  </si>
  <si>
    <t>基数性（固投调节）</t>
  </si>
  <si>
    <t xml:space="preserve">  退耕还林还草地方减收转移支付补助</t>
  </si>
  <si>
    <t>基数性（退耕还林）</t>
  </si>
  <si>
    <t xml:space="preserve">  原调资转移支付补助基数</t>
  </si>
  <si>
    <t>基数性（调整工资）</t>
  </si>
  <si>
    <t xml:space="preserve">  2015年新增调资转移支付补助</t>
  </si>
  <si>
    <t xml:space="preserve">  2016年新增调资转移支付补助</t>
  </si>
  <si>
    <t xml:space="preserve">  2018年新增调资转移支付补助</t>
  </si>
  <si>
    <t xml:space="preserve">  2019年新增调资转移支付补助</t>
  </si>
  <si>
    <t xml:space="preserve">  国有农场综合改革转移支付资金</t>
  </si>
  <si>
    <t>基数性（农村税费改革）</t>
  </si>
  <si>
    <t xml:space="preserve">  国有小三场综合改革转移支付</t>
  </si>
  <si>
    <t xml:space="preserve">  国有农场小型公益事业转移支付资金</t>
  </si>
  <si>
    <t xml:space="preserve">  民办教师转移支付资金（基数）</t>
  </si>
  <si>
    <t xml:space="preserve">  农村税费改革固定性转移支付</t>
  </si>
  <si>
    <t xml:space="preserve">  调减农村税费改革固定性转移支付</t>
  </si>
  <si>
    <t xml:space="preserve">  农村税费改革过渡性转移支付</t>
  </si>
  <si>
    <t xml:space="preserve">  农业税免征取消农业特产税转移支付补助</t>
  </si>
  <si>
    <t xml:space="preserve">  2016年工商系统划转经费</t>
  </si>
  <si>
    <t xml:space="preserve">  2016年质监系统划转经费</t>
  </si>
  <si>
    <t xml:space="preserve">  关于下达全省监察体制改革人员转隶后划转经费基数的通知</t>
  </si>
  <si>
    <t xml:space="preserve">  关于下达2020年中央对地方审计专项补助经费的通知</t>
  </si>
  <si>
    <t xml:space="preserve">  下达工商行政管理专项补助经费</t>
  </si>
  <si>
    <t xml:space="preserve">  农村义务教育骨干教师补助（基数）</t>
  </si>
  <si>
    <t xml:space="preserve">  农村义务教育阶段教师省级统招统派经费（基数）</t>
  </si>
  <si>
    <t xml:space="preserve">  大型泵站公益性排涝电费补助资金（基数）</t>
  </si>
  <si>
    <t xml:space="preserve">  中央政策性破产关闭企业分离办社会职能补助收入</t>
  </si>
  <si>
    <t xml:space="preserve">  2012年新增企事业划转补助基数</t>
  </si>
  <si>
    <t xml:space="preserve">  2011年药监下划补助（含津补贴）</t>
  </si>
  <si>
    <t xml:space="preserve">  食品药品监管体改划转人员经费</t>
  </si>
  <si>
    <t xml:space="preserve">  村级医疗机构补助基数</t>
  </si>
  <si>
    <t xml:space="preserve">  划转原国税部门养老保险缴费和离退休人员经费基数</t>
  </si>
  <si>
    <t xml:space="preserve">  义务教育政策性转移支付（基数）</t>
  </si>
  <si>
    <t xml:space="preserve">  人武职工补助资金</t>
  </si>
  <si>
    <t xml:space="preserve">  调资转移支付补助</t>
  </si>
  <si>
    <t>9.革命老区转移支付补助收入</t>
  </si>
  <si>
    <t xml:space="preserve">  革命老区转移支付补助收入</t>
  </si>
  <si>
    <t>10.巩固脱贫攻坚成果衔接乡村振兴转移支付收入</t>
  </si>
  <si>
    <t xml:space="preserve">  衔接推进乡村振兴补助资金</t>
  </si>
  <si>
    <t>鄂财农发[2023]73号</t>
  </si>
  <si>
    <t>12.公共安全共同财政事权转移支付收入</t>
  </si>
  <si>
    <t xml:space="preserve">  中央政法纪检监察转移支付资金</t>
  </si>
  <si>
    <t>鄂财政发[2023]16号</t>
  </si>
  <si>
    <t xml:space="preserve">  省级政法转移支付资金</t>
  </si>
  <si>
    <t xml:space="preserve">  中央纪检监察转移支付资金</t>
  </si>
  <si>
    <t>204****</t>
  </si>
  <si>
    <t xml:space="preserve">  公安监所给养和运行维修转移支付资金</t>
  </si>
  <si>
    <t xml:space="preserve">  省级公共法律服务体系建设转移支付资金</t>
  </si>
  <si>
    <t>13.教育共同财政事权转移支付收入</t>
  </si>
  <si>
    <t xml:space="preserve">   城乡义务教育补助经费</t>
  </si>
  <si>
    <t>鄂财教发[2023]83号</t>
  </si>
  <si>
    <t xml:space="preserve">   支持学前教育发展资金</t>
  </si>
  <si>
    <t xml:space="preserve">   义务教育薄弱环节改善与能力提升补助经费</t>
  </si>
  <si>
    <t xml:space="preserve">   现代职业教育质量提升计划奖补资金</t>
  </si>
  <si>
    <t xml:space="preserve">   学生资助补助经费</t>
  </si>
  <si>
    <t>鄂财教发[2023]88号</t>
  </si>
  <si>
    <t>鄂财教发[2023]80号</t>
  </si>
  <si>
    <t>鄂财教发[2023]81号</t>
  </si>
  <si>
    <t xml:space="preserve">   中小学体卫艺活动省级专项资金</t>
  </si>
  <si>
    <t xml:space="preserve">   中小学校车安全省级补助资金</t>
  </si>
  <si>
    <t xml:space="preserve">      改善普通高中学校办学条件补助资金</t>
  </si>
  <si>
    <t>鄂财教发[2023]79号</t>
  </si>
  <si>
    <t>14.科学技术共同财政事权转移支付收入</t>
  </si>
  <si>
    <t xml:space="preserve">   基层科普能力建设转移支付资金</t>
  </si>
  <si>
    <t xml:space="preserve">   区域创新建设资金</t>
  </si>
  <si>
    <t>15.文化旅游体育与传媒共同财政事权转移支付收入</t>
  </si>
  <si>
    <t xml:space="preserve">   国家文物保护资金</t>
  </si>
  <si>
    <t>鄂财教发[2023]101号</t>
  </si>
  <si>
    <t xml:space="preserve">   中央支持地方公共文化服务体系建设补助资金</t>
  </si>
  <si>
    <t>鄂财教发[2023]99号</t>
  </si>
  <si>
    <t xml:space="preserve">   省级公共文化服务体系建设资金</t>
  </si>
  <si>
    <t xml:space="preserve">   省级文化遗产保护资金</t>
  </si>
  <si>
    <t xml:space="preserve">   旅游企业贴息省级奖补资金</t>
  </si>
  <si>
    <t>16.社会保障和就业共同财政事权转移支付收入</t>
  </si>
  <si>
    <t xml:space="preserve">   TYSBSH保险接续财政资金</t>
  </si>
  <si>
    <t xml:space="preserve">   中央TYAZ补助经费</t>
  </si>
  <si>
    <t xml:space="preserve">   中央财政机关事业单位养老保险制度改革补助资金</t>
  </si>
  <si>
    <t>鄂财社发[2023]125号</t>
  </si>
  <si>
    <t>2080507</t>
  </si>
  <si>
    <t xml:space="preserve">   中央财政困难群众救助补助资金</t>
  </si>
  <si>
    <t>鄂财社发[2023]121号</t>
  </si>
  <si>
    <t xml:space="preserve">   中央就业补助资金的通知</t>
  </si>
  <si>
    <t>鄂财社发[2023]124号</t>
  </si>
  <si>
    <t>20807</t>
  </si>
  <si>
    <t xml:space="preserve">   中央JDZYGB补助经费</t>
  </si>
  <si>
    <t>省级民政转移支付资金</t>
  </si>
  <si>
    <t>城乡居民基本养老保险省级财政补助资金</t>
  </si>
  <si>
    <t>企业退休jzgb生活困难补助资金</t>
  </si>
  <si>
    <t>省级财政衔接推进乡村振兴补助资金</t>
  </si>
  <si>
    <t>省级残疾儿童康复救助补助资金</t>
  </si>
  <si>
    <t>残疾人两项补贴资金</t>
  </si>
  <si>
    <t>省级就业补助资金</t>
  </si>
  <si>
    <t>省级困难群众基本殡葬费用补贴资金</t>
  </si>
  <si>
    <t>省级优抚和退役安置转移支付资金</t>
  </si>
  <si>
    <t>中央JDZYGB行政经费</t>
  </si>
  <si>
    <t>中央财政就业补助资金</t>
  </si>
  <si>
    <t>中央财政困难群众救助补助资金</t>
  </si>
  <si>
    <t>中央财政调整基本养老金水平补助资金</t>
  </si>
  <si>
    <t>省属汉外机关事业单位养老保险补助资金</t>
  </si>
  <si>
    <t xml:space="preserve">  中央优抚对象补助经费</t>
  </si>
  <si>
    <t>鄂财社发[2023]129号</t>
  </si>
  <si>
    <t>鄂财社发[2023]111号</t>
  </si>
  <si>
    <t>2080899</t>
  </si>
  <si>
    <t xml:space="preserve">  城乡居民基本养老保险中央财政补助资金</t>
  </si>
  <si>
    <t>鄂财社发[2023]115号</t>
  </si>
  <si>
    <t>2082602</t>
  </si>
  <si>
    <t xml:space="preserve">  中央财政残疾人事业发展补助资金</t>
  </si>
  <si>
    <t>鄂财社发[2023]107号</t>
  </si>
  <si>
    <t>17.医疗卫生共同财政事权转移支付收入</t>
  </si>
  <si>
    <t xml:space="preserve">  基本公共卫生服务补助资金</t>
  </si>
  <si>
    <t>鄂财社发[2023]118号</t>
  </si>
  <si>
    <t xml:space="preserve">  基本药物制度补助资金</t>
  </si>
  <si>
    <t>鄂财社发[2023]120号</t>
  </si>
  <si>
    <t>计划生育转移支付资金</t>
  </si>
  <si>
    <t>鄂财社发[2023]116号</t>
  </si>
  <si>
    <t>医疗服务与保障能力提升（公立医院综合改革）补助资金</t>
  </si>
  <si>
    <t>医疗服务与保障能力提升（卫生健康人才培养）补助资金</t>
  </si>
  <si>
    <t xml:space="preserve">  优抚对象医疗保障经费</t>
  </si>
  <si>
    <t>鄂财社发[2023]112号</t>
  </si>
  <si>
    <t>中央财政医疗救助补助资金</t>
  </si>
  <si>
    <t>鄂财社发[2023]126号</t>
  </si>
  <si>
    <t>中央财政医疗服务与保障能力提升补助资金（医疗保障服务能力建设部分）</t>
  </si>
  <si>
    <t>省级部分卫生健康转移支付资金</t>
  </si>
  <si>
    <t>省级卫生健康领域转移支付资金</t>
  </si>
  <si>
    <t>省级卫生健康人才培养补助资金</t>
  </si>
  <si>
    <t>中央财政基本公共卫生服务补助资金</t>
  </si>
  <si>
    <t>中央财政医疗服务与保障能力提升（公立医院综合改革）补助资金</t>
  </si>
  <si>
    <t>中央和省级财政基本药物制度补助资金</t>
  </si>
  <si>
    <t>中央和省级财政计划生育转移支付资金</t>
  </si>
  <si>
    <t>中央和省级财政医疗救助补助资金</t>
  </si>
  <si>
    <t>省级基本公共卫生补助资金</t>
  </si>
  <si>
    <t>省级人口发展与老龄健康一般转移支付资金</t>
  </si>
  <si>
    <t>18.节能环保共同财政事权转移支付收入</t>
  </si>
  <si>
    <t>中央林业草原生态保护恢复资金</t>
  </si>
  <si>
    <t>林业草原生态保护恢复资金</t>
  </si>
  <si>
    <t>19.农林水共同财政事权转移支付收入</t>
  </si>
  <si>
    <t>省级农业相关转移支付资金</t>
  </si>
  <si>
    <t>中央耕地建设与利用资金</t>
  </si>
  <si>
    <t>中央和省级农业防灾减灾资金（病虫害防治）</t>
  </si>
  <si>
    <t>中央农业相关转移支付资金（粮油生产保障资金）</t>
  </si>
  <si>
    <t>鄂财农发[2023]81号</t>
  </si>
  <si>
    <t>中央农业相关转移支付资金（农业产业发展资金）</t>
  </si>
  <si>
    <t>中央农业相关转移支付资金（农业防灾减灾和水利救灾资金）</t>
  </si>
  <si>
    <t>鄂财农发[2023]80号</t>
  </si>
  <si>
    <t>中央农业相关转移支付资金（农业经营主体能力提升资金）</t>
  </si>
  <si>
    <t>中央农业相关转移支付资金（农业生态资源保护）</t>
  </si>
  <si>
    <t>省级林业生态文明建设资金</t>
  </si>
  <si>
    <t>省级水利改革发展资金</t>
  </si>
  <si>
    <t>中央和省级农业转移支付资金</t>
  </si>
  <si>
    <t>中央林业改革发展资金</t>
  </si>
  <si>
    <t>稻谷目标价格补贴资金</t>
  </si>
  <si>
    <t>水利救灾资金（省级防汛抗旱应急补助资金）</t>
  </si>
  <si>
    <t>水利救灾资金</t>
  </si>
  <si>
    <t>中央和省级农业防灾减灾资金（动物防疫补助）</t>
  </si>
  <si>
    <t>中央和省农机购置与应用补贴资金</t>
  </si>
  <si>
    <t>中央林业草原改革发展资金</t>
  </si>
  <si>
    <t>鄂财环发[2023]59号</t>
  </si>
  <si>
    <t>中央农业社会化服务资金</t>
  </si>
  <si>
    <t xml:space="preserve">     中央林业草原生态保护恢复资金</t>
  </si>
  <si>
    <t>鄂财环发[2023]60号</t>
  </si>
  <si>
    <t>高标准农田土地整治存量项目资金</t>
  </si>
  <si>
    <t xml:space="preserve">     中央大中型水库移民后期扶持资金</t>
  </si>
  <si>
    <t>鄂财农发[2023]84号</t>
  </si>
  <si>
    <t xml:space="preserve">  农业保险保费补贴资金</t>
  </si>
  <si>
    <t>鄂财金发[2023]37号</t>
  </si>
  <si>
    <t>21308</t>
  </si>
  <si>
    <t>2130803</t>
  </si>
  <si>
    <t xml:space="preserve">  目标价格补贴（稻谷）</t>
  </si>
  <si>
    <t>鄂财产发[2023]98号</t>
  </si>
  <si>
    <t>21309</t>
  </si>
  <si>
    <t>2130999</t>
  </si>
  <si>
    <t xml:space="preserve">  中央耕地地力保护补贴资金</t>
  </si>
  <si>
    <t>鄂财农发[2023]70号</t>
  </si>
  <si>
    <t>21301</t>
  </si>
  <si>
    <t>2130120</t>
  </si>
  <si>
    <t xml:space="preserve">  中央高标准农田建设补助资金</t>
  </si>
  <si>
    <t>鄂财农发[2023]71号</t>
  </si>
  <si>
    <t>2130153</t>
  </si>
  <si>
    <t xml:space="preserve">  林改减征“两金”补偿资金</t>
  </si>
  <si>
    <t>213****</t>
  </si>
  <si>
    <t xml:space="preserve">  省级生态公益林补偿资金</t>
  </si>
  <si>
    <t xml:space="preserve">  中央水利发展资金</t>
  </si>
  <si>
    <t>鄂财农发[2023]74号</t>
  </si>
  <si>
    <t>20.交通运输共同财政事权转移支付收入</t>
  </si>
  <si>
    <t>车辆购置税收入补助地方一般公路项目资金</t>
  </si>
  <si>
    <t>鄂财建发[2023]139号</t>
  </si>
  <si>
    <t xml:space="preserve">   车辆购置税收入补助地方一般项目资金</t>
  </si>
  <si>
    <t>鄂财建发[2023]150号</t>
  </si>
  <si>
    <t>成品油税费改革转移支付预算</t>
  </si>
  <si>
    <t>鄂财建发[2023]149号</t>
  </si>
  <si>
    <t>省级交通一般性转移支付预算</t>
  </si>
  <si>
    <t>政府还贷二级公路取消收费后补助资金</t>
  </si>
  <si>
    <t>鄂财建发[2023]151号</t>
  </si>
  <si>
    <t>调整2023年交通一般性转移支付资金</t>
  </si>
  <si>
    <t>全省公路货物运输业发展奖补资金</t>
  </si>
  <si>
    <t>普通公路省统贷债务补助资金</t>
  </si>
  <si>
    <t>交通运输一般性转移支付资金</t>
  </si>
  <si>
    <t>省级交通运输一般性转移支付资金</t>
  </si>
  <si>
    <t>21.住房保障共同财政事权转移支付收入</t>
  </si>
  <si>
    <t>中央和省级农村危房改造补助资金</t>
  </si>
  <si>
    <t>中央财政城镇保障性安居工程补助资金</t>
  </si>
  <si>
    <t>鄂财综发[2023]20号</t>
  </si>
  <si>
    <t>22.粮油物资储备共同财政事权转移支付收入</t>
  </si>
  <si>
    <t xml:space="preserve">  粮食风险基金省级包干补助资金</t>
  </si>
  <si>
    <t>鄂财产发[2023]104号</t>
  </si>
  <si>
    <t>23.灾害防治及应急管理共同财政事权转移支付收入</t>
  </si>
  <si>
    <t>中央自然灾害救灾资金（干旱灾害）</t>
  </si>
  <si>
    <t>全省防灾减灾体系建设资金</t>
  </si>
  <si>
    <t>省级应急能力与安全生产专项资金及省级救灾物资代储费</t>
  </si>
  <si>
    <t>中央和省级自然灾害救灾资金</t>
  </si>
  <si>
    <t>24.增值税留抵退税转移支付</t>
  </si>
  <si>
    <t xml:space="preserve">  大中型企业留抵退税补助</t>
  </si>
  <si>
    <t>25.其他退税减税降费转移支付</t>
  </si>
  <si>
    <t xml:space="preserve">  其他减税降费补助</t>
  </si>
  <si>
    <t>26.其他一般性转移支付补助收入</t>
  </si>
  <si>
    <t>省财政厅关于下达2023年原国有企业退休处以上干部生活补助资金的通知</t>
  </si>
  <si>
    <t>三、专项转移支付收入</t>
  </si>
  <si>
    <t>[201]一般公共服务支出</t>
  </si>
  <si>
    <t>药品监管补助资金</t>
  </si>
  <si>
    <t>纪检监察补助经费</t>
  </si>
  <si>
    <t>全省基层共青团工作经费</t>
  </si>
  <si>
    <t>省机构编制工作“以奖代补”专项资金</t>
  </si>
  <si>
    <t>县级国家综合档案馆建设“以奖代补”专项资金</t>
  </si>
  <si>
    <t>[203]国防支出</t>
  </si>
  <si>
    <t xml:space="preserve">   征兵工作经费</t>
  </si>
  <si>
    <t>[205]教育支出</t>
  </si>
  <si>
    <t>[206]科学技术支出</t>
  </si>
  <si>
    <t>省级科技创新专项资金</t>
  </si>
  <si>
    <t>[207]文化体育与传媒支出</t>
  </si>
  <si>
    <t>省财政厅关于下达2023年省级旅游发展专项资金的通知</t>
  </si>
  <si>
    <t>[208]社会保障和就业支出</t>
  </si>
  <si>
    <t>T关于下达2023年社会服务设兜底线工程中央基建投资预算的通知</t>
  </si>
  <si>
    <t>关于下达2023年省预算内基建投资预算的通知</t>
  </si>
  <si>
    <t>省财政厅关于提前下达2023年省总工会专项转移支付预算指标的通知</t>
  </si>
  <si>
    <t>省财政厅关于下达2023年省部级困难劳模补助资金预算的通知</t>
  </si>
  <si>
    <t>[210]医疗卫生与计划生育支出</t>
  </si>
  <si>
    <t>关于紧急下达2023年新型冠状病毒感染疫情应急救治能力提升项目中央基建投资预算的通知</t>
  </si>
  <si>
    <t xml:space="preserve">省财政厅关于拨付2023年重大疾病患者春节慰问资金的通知	</t>
  </si>
  <si>
    <t>省财政厅关于提前下达2023年重大传染病防控经费预算的通知</t>
  </si>
  <si>
    <t>鄂财社发[2023]117号</t>
  </si>
  <si>
    <t>转移支付-专项</t>
  </si>
  <si>
    <t>省财政厅关于下达2022年重大传染病防控经费预算的通知</t>
  </si>
  <si>
    <t>省财政厅关于下达2023年重大传染病防控经费预算的通知</t>
  </si>
  <si>
    <t>[211]节能环保支出</t>
  </si>
  <si>
    <t xml:space="preserve">  中央土壤污染防治资金</t>
  </si>
  <si>
    <t>鄂财环发[2023]61号</t>
  </si>
  <si>
    <t>2110307</t>
  </si>
  <si>
    <t xml:space="preserve">  大气污染防治资金</t>
  </si>
  <si>
    <t>鄂财环发[2023]70号</t>
  </si>
  <si>
    <t>[212]城乡社区支出</t>
  </si>
  <si>
    <t>[213]农林水支出</t>
  </si>
  <si>
    <t xml:space="preserve">  普惠金融发展专项资金</t>
  </si>
  <si>
    <t>关于下达2023年藏粮于地藏粮于技专项（动植物保护能力提升工程方向）第四批中央基建投资预算的通知</t>
  </si>
  <si>
    <t>关于下达2023年乡村振兴专项农村人居环境整治中央基建投资预算的通知</t>
  </si>
  <si>
    <t>省财政厅关于提前下达2023年 土地指标跨省域调剂收入安排的支出预算 （中央农村厕所革命整村推进财政奖补资金）的通知</t>
  </si>
  <si>
    <t>省财政厅关于提前下达2023年中央农村综合改革转移支付资金的通知</t>
  </si>
  <si>
    <t>省财政厅关于下达2022年第三批省级和提前下达2023年中央普惠金融发展专项资金预算的通知</t>
  </si>
  <si>
    <t>省财政厅关于下达2023年省级农村综合改革转移支付资金的通知</t>
  </si>
  <si>
    <t>省财政厅关于下达2023年省预算内基建投资预算的通知</t>
  </si>
  <si>
    <t>省财政厅关于下达2023年土地指标跨省域调剂收入安排的支出预算（中央农村厕所革命整村推进财政奖补资金）的通知</t>
  </si>
  <si>
    <t>[214]交通运输支出</t>
  </si>
  <si>
    <t>[215]资源勘探工业信息等支出</t>
  </si>
  <si>
    <t>省财政厅关于下达2023年企业上市省级奖励资金（2023年第一批）的通知</t>
  </si>
  <si>
    <t>省财政厅关于下达2023年省级制造业高质量发展专项资金（第二批）的通知</t>
  </si>
  <si>
    <t>[216]商业服务业等支出</t>
  </si>
  <si>
    <t>[220]国土海洋气象等支出</t>
  </si>
  <si>
    <t>省级耕地保护资金</t>
  </si>
  <si>
    <t>2200106</t>
  </si>
  <si>
    <t>[221]住房保障支出</t>
  </si>
  <si>
    <t>城市燃气管道等老化更新改造和保障性安居工程专项（保障性安居工程方向）中央基建投资预算</t>
  </si>
  <si>
    <t>城市燃气管道等老化更新改造和保障性安居工程专项（城市燃气管道等老化更新改造方向）中央基建投资预算</t>
  </si>
  <si>
    <t>[222]粮油物资储备支出</t>
  </si>
  <si>
    <t>[224]灾害防治及应急管理支出</t>
  </si>
  <si>
    <t>自然灾害防治体系建设补助资金</t>
  </si>
  <si>
    <t xml:space="preserve">  防震减灾专项资金</t>
  </si>
  <si>
    <t>2240599</t>
  </si>
  <si>
    <t>省级地质灾害防治专项资金</t>
  </si>
  <si>
    <t>[229]其他支出</t>
  </si>
  <si>
    <t>重点地区转型发展专项（资源型地区转型发展方向）第一批中央基建投资预算</t>
  </si>
  <si>
    <t>2023年本级政府一般债务限额和余额情况表</t>
  </si>
  <si>
    <t>2023年
一般债务限额</t>
  </si>
  <si>
    <t>2023年
一般债务转贷额</t>
  </si>
  <si>
    <t>2023年一般债务
偿还本金额</t>
  </si>
  <si>
    <t>2023年末
一般债务余额</t>
  </si>
  <si>
    <t>大冶市本级</t>
  </si>
  <si>
    <t>含外国政府和国际金融组织贷款</t>
  </si>
  <si>
    <t>2024年部门预算收入来源分类汇总表</t>
  </si>
  <si>
    <t>单位
编码</t>
  </si>
  <si>
    <t>单位名称</t>
  </si>
  <si>
    <t>总计</t>
  </si>
  <si>
    <t>财政拨款收入</t>
  </si>
  <si>
    <t>财政
专户
管理
资金
收入</t>
  </si>
  <si>
    <t>单位资金</t>
  </si>
  <si>
    <t>财政
拨款
（补助）</t>
  </si>
  <si>
    <t>纳入预算管理的非税收入拨款</t>
  </si>
  <si>
    <t>小计</t>
  </si>
  <si>
    <t>事业
收入</t>
  </si>
  <si>
    <t>上级
补助
收入</t>
  </si>
  <si>
    <t>附属
单位
上缴
收入</t>
  </si>
  <si>
    <t>事业
单位
经营
收入</t>
  </si>
  <si>
    <t>其他
收入</t>
  </si>
  <si>
    <t>专项
收入
拨款</t>
  </si>
  <si>
    <t>行政事业
单位资产
收益拨款</t>
  </si>
  <si>
    <t>其他纳入
预算管理
非税拨款</t>
  </si>
  <si>
    <t>打印行</t>
  </si>
  <si>
    <t>是</t>
  </si>
  <si>
    <t>行政政法股合计</t>
  </si>
  <si>
    <t>001001</t>
  </si>
  <si>
    <t>中共市委办公室本级</t>
  </si>
  <si>
    <t>002001</t>
  </si>
  <si>
    <t>中共市委政研室本级</t>
  </si>
  <si>
    <t>003001</t>
  </si>
  <si>
    <t>市信访局本级</t>
  </si>
  <si>
    <t>004001</t>
  </si>
  <si>
    <t>中共市委组织部本级</t>
  </si>
  <si>
    <t>004002</t>
  </si>
  <si>
    <t>中共市委人才办</t>
  </si>
  <si>
    <t>005001</t>
  </si>
  <si>
    <t>中共市委政法委本级</t>
  </si>
  <si>
    <t>006001</t>
  </si>
  <si>
    <t>市工商业联合会本级</t>
  </si>
  <si>
    <t>007001</t>
  </si>
  <si>
    <t>市妇女联合会本级</t>
  </si>
  <si>
    <t>008001</t>
  </si>
  <si>
    <t>共青团市委本级</t>
  </si>
  <si>
    <t>009001</t>
  </si>
  <si>
    <t>市人大常委会办公室本级</t>
  </si>
  <si>
    <t>010001</t>
  </si>
  <si>
    <t>市政协委员会办公室本级</t>
  </si>
  <si>
    <r>
      <rPr>
        <sz val="10.5"/>
        <color indexed="8"/>
        <rFont val="Arial Narrow"/>
        <charset val="0"/>
      </rPr>
      <t>0</t>
    </r>
    <r>
      <rPr>
        <sz val="11"/>
        <color indexed="8"/>
        <rFont val="Arial Narrow"/>
        <charset val="0"/>
      </rPr>
      <t>11001</t>
    </r>
  </si>
  <si>
    <t>市人民政府办公室本级</t>
  </si>
  <si>
    <t>012001</t>
  </si>
  <si>
    <t>市机关事务服务中心本级</t>
  </si>
  <si>
    <t>013001</t>
  </si>
  <si>
    <t>中共市委编办本级</t>
  </si>
  <si>
    <t>014001</t>
  </si>
  <si>
    <t>市统计局本级</t>
  </si>
  <si>
    <t>015001</t>
  </si>
  <si>
    <t>市审计局本级</t>
  </si>
  <si>
    <t>016001</t>
  </si>
  <si>
    <t>市财政局本级</t>
  </si>
  <si>
    <t>017001</t>
  </si>
  <si>
    <t>市公安局本级</t>
  </si>
  <si>
    <t>018001</t>
  </si>
  <si>
    <t>市司法局本级</t>
  </si>
  <si>
    <t>019001</t>
  </si>
  <si>
    <t>中共市委统战部</t>
  </si>
  <si>
    <t>020001</t>
  </si>
  <si>
    <t>中共市纪律检查委员会本级</t>
  </si>
  <si>
    <t>021001</t>
  </si>
  <si>
    <t>中共市委巡察办本级</t>
  </si>
  <si>
    <t>022001</t>
  </si>
  <si>
    <t>市市场监督管理局本级</t>
  </si>
  <si>
    <t>023001</t>
  </si>
  <si>
    <t>市档案馆本级</t>
  </si>
  <si>
    <t>024001</t>
  </si>
  <si>
    <t>市总工会本级</t>
  </si>
  <si>
    <t>农业农村股合计</t>
  </si>
  <si>
    <t>101001</t>
  </si>
  <si>
    <t>市农业农村局本级</t>
  </si>
  <si>
    <t>101002</t>
  </si>
  <si>
    <t>市畜牧兽医服务中心</t>
  </si>
  <si>
    <t>101003</t>
  </si>
  <si>
    <t>市农业综合执法大队</t>
  </si>
  <si>
    <t>101004</t>
  </si>
  <si>
    <t>市生态能源推广服务中心</t>
  </si>
  <si>
    <t>101005</t>
  </si>
  <si>
    <t>市种植业服务中心</t>
  </si>
  <si>
    <t>101006</t>
  </si>
  <si>
    <t>市政府蔬菜保障中心</t>
  </si>
  <si>
    <t>101007</t>
  </si>
  <si>
    <t>市农业科学研究所</t>
  </si>
  <si>
    <t>101008</t>
  </si>
  <si>
    <t>市农业机械服务中心</t>
  </si>
  <si>
    <t>101010</t>
  </si>
  <si>
    <t>市水产服务中心</t>
  </si>
  <si>
    <t>101011</t>
  </si>
  <si>
    <t>市三农金融服务中心</t>
  </si>
  <si>
    <t>101012</t>
  </si>
  <si>
    <t>市农村经济经营服务中心</t>
  </si>
  <si>
    <t>102001</t>
  </si>
  <si>
    <t>市水利和湖泊局本级</t>
  </si>
  <si>
    <t>102002</t>
  </si>
  <si>
    <t>大冶湖枢纽工程管理站</t>
  </si>
  <si>
    <t>103001</t>
  </si>
  <si>
    <t>市人工影响天气办公室本级</t>
  </si>
  <si>
    <t>104001</t>
  </si>
  <si>
    <t>湖北保安湖湿地管委会本级</t>
  </si>
  <si>
    <t>105001</t>
  </si>
  <si>
    <t>市乡村振兴局本级</t>
  </si>
  <si>
    <t>社会保障股合计</t>
  </si>
  <si>
    <t>市民政局本级</t>
  </si>
  <si>
    <t>市民政局婚姻登记处</t>
  </si>
  <si>
    <t>市殡葬管理局</t>
  </si>
  <si>
    <t>市社会福利中心</t>
  </si>
  <si>
    <t>市救助管理站</t>
  </si>
  <si>
    <t>市残疾人联合会本级</t>
  </si>
  <si>
    <t>市医疗保障局本级</t>
  </si>
  <si>
    <t>市人力资源和社会保障局本级</t>
  </si>
  <si>
    <t>市公共就业和人才服务局</t>
  </si>
  <si>
    <t>市社会养老保险局</t>
  </si>
  <si>
    <t>市城乡居民社会养老保险局</t>
  </si>
  <si>
    <t>市卫生健康局本级</t>
  </si>
  <si>
    <t>市卫生健康综合执法大队</t>
  </si>
  <si>
    <t>市中医医院</t>
  </si>
  <si>
    <t>市妇幼保健院</t>
  </si>
  <si>
    <t>市防治艾滋病服务中心</t>
  </si>
  <si>
    <t>市疾病预防控制中心</t>
  </si>
  <si>
    <t>市人民医院</t>
  </si>
  <si>
    <t>市第三人民医院</t>
  </si>
  <si>
    <t>罗家桥卫生院</t>
  </si>
  <si>
    <t>还地桥中心卫生院</t>
  </si>
  <si>
    <t>市第四人民医院</t>
  </si>
  <si>
    <t>金山店卫生院</t>
  </si>
  <si>
    <t>陈贵中心卫生院</t>
  </si>
  <si>
    <t>茗山卫生院</t>
  </si>
  <si>
    <t>灵乡卫生院</t>
  </si>
  <si>
    <t>市第二人民医院</t>
  </si>
  <si>
    <t>刘仁八卫生院</t>
  </si>
  <si>
    <t>殷祖中心卫生院</t>
  </si>
  <si>
    <t>金湖卫生院</t>
  </si>
  <si>
    <t>大箕铺卫生院</t>
  </si>
  <si>
    <t>东风农场卫生院</t>
  </si>
  <si>
    <t>市尹家湖社区卫生服务中心</t>
  </si>
  <si>
    <t>市退役军人事务局本级</t>
  </si>
  <si>
    <t>市红十字会本级</t>
  </si>
  <si>
    <t>经济建设股合计</t>
  </si>
  <si>
    <t>市发展和改革局本级</t>
  </si>
  <si>
    <t>市住房和城乡建设局本级</t>
  </si>
  <si>
    <t>市城建重点工程服务中心</t>
  </si>
  <si>
    <t>市城区房管所</t>
  </si>
  <si>
    <t>市城市管理执法局本级</t>
  </si>
  <si>
    <t>市园林绿化管理局</t>
  </si>
  <si>
    <t>市城市排水管理处</t>
  </si>
  <si>
    <t>市燃气管理处</t>
  </si>
  <si>
    <t>市城市管理执法督察大队</t>
  </si>
  <si>
    <t>市城市公园管理处</t>
  </si>
  <si>
    <t>市交通运输局本级</t>
  </si>
  <si>
    <t>市交通运输综合执法大队</t>
  </si>
  <si>
    <t>市交通物流发展中心</t>
  </si>
  <si>
    <t>市公路管理局</t>
  </si>
  <si>
    <t>市农村公路管理局</t>
  </si>
  <si>
    <t>市政数局本级</t>
  </si>
  <si>
    <t>市公共资源交易中心本级</t>
  </si>
  <si>
    <t>市应急管理局本级</t>
  </si>
  <si>
    <t>综合会计股合计</t>
  </si>
  <si>
    <t>402001</t>
  </si>
  <si>
    <t>市自规局本级</t>
  </si>
  <si>
    <t>402005</t>
  </si>
  <si>
    <t>市自规局地灾项目</t>
  </si>
  <si>
    <t>402006</t>
  </si>
  <si>
    <t>市自规局林业项目</t>
  </si>
  <si>
    <t>403001</t>
  </si>
  <si>
    <t>湖北黄石工矿地管理办公室本级</t>
  </si>
  <si>
    <t>企业金融股合计</t>
  </si>
  <si>
    <t>市商务局本级</t>
  </si>
  <si>
    <t>市商贸经济服务中心</t>
  </si>
  <si>
    <t>市市场管理局</t>
  </si>
  <si>
    <t>市供销合作社联合社本级</t>
  </si>
  <si>
    <t>市招商服务中心本级</t>
  </si>
  <si>
    <t>市公共检验检测中心本级</t>
  </si>
  <si>
    <t>市经济和信息化局本级</t>
  </si>
  <si>
    <t>市工业经济服务中心</t>
  </si>
  <si>
    <t>教科文股合计</t>
  </si>
  <si>
    <t>市科学技术局本级</t>
  </si>
  <si>
    <t>市文化和旅游局本级</t>
  </si>
  <si>
    <t>市文化和旅游市场执法大队</t>
  </si>
  <si>
    <t>市群众文化馆</t>
  </si>
  <si>
    <t>市社会体育事业发展中心</t>
  </si>
  <si>
    <t>市图书馆</t>
  </si>
  <si>
    <t>市艺术剧院</t>
  </si>
  <si>
    <t>市文物事业发展中心</t>
  </si>
  <si>
    <t>市铜绿山古铜矿遗址管委会本级</t>
  </si>
  <si>
    <t>市融媒体中心本级</t>
  </si>
  <si>
    <t>市教育局本级</t>
  </si>
  <si>
    <t>市学校后勤保障服务中心</t>
  </si>
  <si>
    <t>市电化教育馆</t>
  </si>
  <si>
    <t>市教学研究室</t>
  </si>
  <si>
    <t>市教师发展服务中心</t>
  </si>
  <si>
    <t>市教育招生服务中心</t>
  </si>
  <si>
    <t>市机关幼儿园</t>
  </si>
  <si>
    <t>中等专业学校</t>
  </si>
  <si>
    <t>市新街小学</t>
  </si>
  <si>
    <t>市实验小学</t>
  </si>
  <si>
    <t>市北门小学</t>
  </si>
  <si>
    <t>市育才小学</t>
  </si>
  <si>
    <t>师范附属小学</t>
  </si>
  <si>
    <t>市特殊教育学校</t>
  </si>
  <si>
    <t>市滨湖学校</t>
  </si>
  <si>
    <t>市实验中学</t>
  </si>
  <si>
    <t>市东岳中学</t>
  </si>
  <si>
    <t>市第一中学</t>
  </si>
  <si>
    <t>市实验高中</t>
  </si>
  <si>
    <t>市第六中学</t>
  </si>
  <si>
    <t>市第二中学</t>
  </si>
  <si>
    <t>东风农场小学</t>
  </si>
  <si>
    <t>铜绿山矿学校</t>
  </si>
  <si>
    <t>铜山口矿学校</t>
  </si>
  <si>
    <t>罗家桥街道办事处桃花小学</t>
  </si>
  <si>
    <t>还地桥镇初级中学</t>
  </si>
  <si>
    <t>市第三中学</t>
  </si>
  <si>
    <t>金山店镇中学</t>
  </si>
  <si>
    <t>市第十中学</t>
  </si>
  <si>
    <t>茗山乡初级中学</t>
  </si>
  <si>
    <t>灵乡镇初级中学</t>
  </si>
  <si>
    <t>金牛镇中学</t>
  </si>
  <si>
    <t>市第四中学</t>
  </si>
  <si>
    <t>殷祖镇初级中学</t>
  </si>
  <si>
    <t>金湖街道办事处初级中学</t>
  </si>
  <si>
    <t>大箕铺镇初级中学</t>
  </si>
  <si>
    <t>东岳路街道办事处幼儿园</t>
  </si>
  <si>
    <t>开发区下冯小学</t>
  </si>
  <si>
    <t>市第二实验中学</t>
  </si>
  <si>
    <t>市第二实验小学</t>
  </si>
  <si>
    <t>市保康小学</t>
  </si>
  <si>
    <t>市尹家湖小学</t>
  </si>
  <si>
    <t>市东风路学校</t>
  </si>
  <si>
    <t>市尹家湖中学</t>
  </si>
  <si>
    <t>市第四实验学校</t>
  </si>
  <si>
    <t>市第三实验学校</t>
  </si>
  <si>
    <t>市第五实验学校</t>
  </si>
  <si>
    <t>市观山小学</t>
  </si>
  <si>
    <t>市大冶湖学校</t>
  </si>
  <si>
    <t>市武备路中学</t>
  </si>
  <si>
    <t>市尹家湖幼儿园</t>
  </si>
  <si>
    <t>市青松幼儿园</t>
  </si>
  <si>
    <t>中共市委党校本级</t>
  </si>
  <si>
    <t>市科学技术协会本级</t>
  </si>
  <si>
    <t>市城市文明创建中心</t>
  </si>
  <si>
    <t>609001</t>
  </si>
  <si>
    <t>中共市委宣传部本级</t>
  </si>
  <si>
    <t>610001</t>
  </si>
  <si>
    <t>市文学艺术界联合会本级</t>
  </si>
  <si>
    <t>预算股合计</t>
  </si>
  <si>
    <t>市人民武装部</t>
  </si>
  <si>
    <t>市消防救援大队本级</t>
  </si>
  <si>
    <t>市税务局</t>
  </si>
  <si>
    <t>各乡镇场街道高新区合计</t>
  </si>
  <si>
    <t>罗家桥街道小计</t>
  </si>
  <si>
    <t>806001</t>
  </si>
  <si>
    <t>罗家桥街道办事处本级</t>
  </si>
  <si>
    <t>806002</t>
  </si>
  <si>
    <t>罗家桥街道财政所</t>
  </si>
  <si>
    <t>806003</t>
  </si>
  <si>
    <t>罗家桥街道党群服务中心</t>
  </si>
  <si>
    <t>806004</t>
  </si>
  <si>
    <t>罗家桥街道综合执法中心</t>
  </si>
  <si>
    <t>806005</t>
  </si>
  <si>
    <t>罗家桥街道社区网格服务中心</t>
  </si>
  <si>
    <t>临空区·还地桥镇小计</t>
  </si>
  <si>
    <t>807001</t>
  </si>
  <si>
    <t>还地桥镇人民政府本级</t>
  </si>
  <si>
    <t>807002</t>
  </si>
  <si>
    <t>还地桥财政所</t>
  </si>
  <si>
    <t>807003</t>
  </si>
  <si>
    <t>还地桥镇统计分局</t>
  </si>
  <si>
    <t>807004</t>
  </si>
  <si>
    <t>还地桥镇退役军人服务站</t>
  </si>
  <si>
    <t>807005</t>
  </si>
  <si>
    <t>还地桥镇政务服务中心</t>
  </si>
  <si>
    <t>807006</t>
  </si>
  <si>
    <t>还地桥镇综合行政执法大队</t>
  </si>
  <si>
    <t>807007</t>
  </si>
  <si>
    <t>黄石临空经济区园区综合服务中心</t>
  </si>
  <si>
    <t>保安镇小计</t>
  </si>
  <si>
    <t>808001</t>
  </si>
  <si>
    <t>保安镇人民政府本级</t>
  </si>
  <si>
    <t>808002</t>
  </si>
  <si>
    <t>保安镇财经所</t>
  </si>
  <si>
    <t>808003</t>
  </si>
  <si>
    <t>保安镇统计中心</t>
  </si>
  <si>
    <t>808004</t>
  </si>
  <si>
    <t>保安文化分馆</t>
  </si>
  <si>
    <t>808005</t>
  </si>
  <si>
    <t>保安镇人社中心</t>
  </si>
  <si>
    <t>808006</t>
  </si>
  <si>
    <t>保安镇退役军人服务站</t>
  </si>
  <si>
    <t>金山店镇小计</t>
  </si>
  <si>
    <t>809001</t>
  </si>
  <si>
    <t>金山店镇人民政府本级</t>
  </si>
  <si>
    <t>809002</t>
  </si>
  <si>
    <t>金山店镇财经所</t>
  </si>
  <si>
    <t>809003</t>
  </si>
  <si>
    <t>金山店镇统计分局</t>
  </si>
  <si>
    <t>809004</t>
  </si>
  <si>
    <t>金山店镇人社中心</t>
  </si>
  <si>
    <t>809005</t>
  </si>
  <si>
    <t>金山店镇退役军人服务站</t>
  </si>
  <si>
    <t>陈贵镇小计</t>
  </si>
  <si>
    <t>810001</t>
  </si>
  <si>
    <t>陈贵镇人民政府本级</t>
  </si>
  <si>
    <t>810002</t>
  </si>
  <si>
    <t>陈贵财政所</t>
  </si>
  <si>
    <t>810003</t>
  </si>
  <si>
    <t>陈贵镇统计中心</t>
  </si>
  <si>
    <t>810004</t>
  </si>
  <si>
    <t>雷山名胜风景区管理处</t>
  </si>
  <si>
    <t>810005</t>
  </si>
  <si>
    <t>陈贵镇政务服务中心</t>
  </si>
  <si>
    <t>810006</t>
  </si>
  <si>
    <t>陈贵镇综合行政执法大队</t>
  </si>
  <si>
    <t>810007</t>
  </si>
  <si>
    <t>陈贵镇退役军人服务站</t>
  </si>
  <si>
    <t>茗山乡小计</t>
  </si>
  <si>
    <t>811001</t>
  </si>
  <si>
    <t>茗山乡人民政府本级</t>
  </si>
  <si>
    <t>811002</t>
  </si>
  <si>
    <t>茗山乡财经所</t>
  </si>
  <si>
    <t>811003</t>
  </si>
  <si>
    <t>茗山乡统计分局</t>
  </si>
  <si>
    <t>811004</t>
  </si>
  <si>
    <t>茗山乡人社中心</t>
  </si>
  <si>
    <t>811005</t>
  </si>
  <si>
    <t>茗山乡退役军人服务站</t>
  </si>
  <si>
    <t>灵乡镇小计</t>
  </si>
  <si>
    <t>812001</t>
  </si>
  <si>
    <t>灵乡镇人民政府本级</t>
  </si>
  <si>
    <t>812002</t>
  </si>
  <si>
    <t>灵乡财政所</t>
  </si>
  <si>
    <t>812003</t>
  </si>
  <si>
    <t>灵乡镇统计中心</t>
  </si>
  <si>
    <t>812004</t>
  </si>
  <si>
    <t>灵乡镇灵成工业园园区服务中心</t>
  </si>
  <si>
    <t>812005</t>
  </si>
  <si>
    <t>灵乡镇政务服务中心</t>
  </si>
  <si>
    <t>812006</t>
  </si>
  <si>
    <t>灵乡镇综合行政执法大队</t>
  </si>
  <si>
    <t>812007</t>
  </si>
  <si>
    <t>灵乡镇退役军人服务站</t>
  </si>
  <si>
    <t>金牛镇小计</t>
  </si>
  <si>
    <t>813001</t>
  </si>
  <si>
    <t>金牛镇人民政府本级</t>
  </si>
  <si>
    <t>813002</t>
  </si>
  <si>
    <t>金牛镇财经所</t>
  </si>
  <si>
    <t>813003</t>
  </si>
  <si>
    <t>金牛文化分馆</t>
  </si>
  <si>
    <t>813004</t>
  </si>
  <si>
    <t>金牛镇统计分局</t>
  </si>
  <si>
    <t>813005</t>
  </si>
  <si>
    <t>金牛镇人社中心</t>
  </si>
  <si>
    <t>813006</t>
  </si>
  <si>
    <t>金牛镇退役军人服务站</t>
  </si>
  <si>
    <t>813007</t>
  </si>
  <si>
    <t>金牛镇防艾办</t>
  </si>
  <si>
    <t>刘仁八镇小计</t>
  </si>
  <si>
    <t>814001</t>
  </si>
  <si>
    <t>刘仁八镇人民政府本级</t>
  </si>
  <si>
    <t>814002</t>
  </si>
  <si>
    <t>刘仁八镇财经所</t>
  </si>
  <si>
    <t>814003</t>
  </si>
  <si>
    <t>刘仁八镇统计分局</t>
  </si>
  <si>
    <t>814004</t>
  </si>
  <si>
    <t>刘仁八镇人社中心</t>
  </si>
  <si>
    <t>814005</t>
  </si>
  <si>
    <t>刘仁八镇退役军人服务站</t>
  </si>
  <si>
    <t>殷祖镇小计</t>
  </si>
  <si>
    <t>815001</t>
  </si>
  <si>
    <t>殷祖镇人民政府本级</t>
  </si>
  <si>
    <t>815002</t>
  </si>
  <si>
    <t>殷祖镇财经所</t>
  </si>
  <si>
    <t>815003</t>
  </si>
  <si>
    <t>殷祖镇统计分局</t>
  </si>
  <si>
    <t>815004</t>
  </si>
  <si>
    <t>殷祖镇人社中心</t>
  </si>
  <si>
    <t>815005</t>
  </si>
  <si>
    <t>殷祖镇退役军人服务站</t>
  </si>
  <si>
    <t>金湖街道小计</t>
  </si>
  <si>
    <t>816001</t>
  </si>
  <si>
    <t>金湖街道办事处本级</t>
  </si>
  <si>
    <t>816002</t>
  </si>
  <si>
    <t>金湖街道财政所</t>
  </si>
  <si>
    <t>816003</t>
  </si>
  <si>
    <t>金湖街道党群服务中心</t>
  </si>
  <si>
    <t>816004</t>
  </si>
  <si>
    <t>金湖街道综合执法中心</t>
  </si>
  <si>
    <t>816005</t>
  </si>
  <si>
    <t>金湖街道社区网格服务中心</t>
  </si>
  <si>
    <t>大箕铺镇小计</t>
  </si>
  <si>
    <t>817001</t>
  </si>
  <si>
    <t>大箕铺镇人民政府本级</t>
  </si>
  <si>
    <t>817002</t>
  </si>
  <si>
    <t>大箕铺镇财经所</t>
  </si>
  <si>
    <t>817003</t>
  </si>
  <si>
    <t>大箕铺镇统计分局</t>
  </si>
  <si>
    <t>817004</t>
  </si>
  <si>
    <t>大箕铺镇人社中心</t>
  </si>
  <si>
    <t>817005</t>
  </si>
  <si>
    <t>大箕铺镇退役军人服务站</t>
  </si>
  <si>
    <t>东岳路街道小计</t>
  </si>
  <si>
    <t>818001</t>
  </si>
  <si>
    <t>东岳路街道办事处本级</t>
  </si>
  <si>
    <t>818002</t>
  </si>
  <si>
    <t>东岳路街道财政所</t>
  </si>
  <si>
    <t>818003</t>
  </si>
  <si>
    <t>东岳路街道党群服务中心</t>
  </si>
  <si>
    <t>818004</t>
  </si>
  <si>
    <t>东岳路街道综合执法中心</t>
  </si>
  <si>
    <t>818005</t>
  </si>
  <si>
    <t>东岳路街道社区网格服务中心</t>
  </si>
  <si>
    <t>东风路街道小计</t>
  </si>
  <si>
    <t>819002</t>
  </si>
  <si>
    <t>经济技术开发区财经分局</t>
  </si>
  <si>
    <t>819011</t>
  </si>
  <si>
    <t>东风路街道办事处</t>
  </si>
  <si>
    <t>819012</t>
  </si>
  <si>
    <t>东风路街道党群服务中心</t>
  </si>
  <si>
    <t>819013</t>
  </si>
  <si>
    <t>东风路街道综合执法中心</t>
  </si>
  <si>
    <t>819014</t>
  </si>
  <si>
    <t>东风路街道社区网格服务中心</t>
  </si>
  <si>
    <t>东风农场小计</t>
  </si>
  <si>
    <t>820001</t>
  </si>
  <si>
    <t>东风农场管理区本级</t>
  </si>
  <si>
    <t>820002</t>
  </si>
  <si>
    <t>东风农场管理区财经所</t>
  </si>
  <si>
    <t>820003</t>
  </si>
  <si>
    <t>东风农场管理区人社中心</t>
  </si>
  <si>
    <t>820004</t>
  </si>
  <si>
    <t>东风农场统计分局</t>
  </si>
  <si>
    <t>820005</t>
  </si>
  <si>
    <t>东风农场退役军人服务站</t>
  </si>
  <si>
    <t>高新区管委会小计</t>
  </si>
  <si>
    <t>821001</t>
  </si>
  <si>
    <t>黄石湖高新区管委会本级</t>
  </si>
  <si>
    <t>821002</t>
  </si>
  <si>
    <t>高新区政务服务中心</t>
  </si>
  <si>
    <t>821003</t>
  </si>
  <si>
    <t>高新区综合执法中心</t>
  </si>
  <si>
    <t>821004</t>
  </si>
  <si>
    <t>高新区产业招商服务中心</t>
  </si>
  <si>
    <t>财政代编合计</t>
  </si>
  <si>
    <t>行政政法股</t>
  </si>
  <si>
    <t>农业农村股</t>
  </si>
  <si>
    <t>社会保障股</t>
  </si>
  <si>
    <t>经济建设股</t>
  </si>
  <si>
    <t>综合会计股</t>
  </si>
  <si>
    <t>企业金融股</t>
  </si>
  <si>
    <t>教科文股</t>
  </si>
  <si>
    <t>预算股</t>
  </si>
  <si>
    <t>国库股</t>
  </si>
  <si>
    <t>资产管理股</t>
  </si>
  <si>
    <t>市综改办</t>
  </si>
  <si>
    <t>市农村局</t>
  </si>
  <si>
    <t>市投资办</t>
  </si>
  <si>
    <t>上年结转合计</t>
  </si>
  <si>
    <t>上级专款合计</t>
  </si>
  <si>
    <t>2024年部门预算人员类和公用经费类项目支出表</t>
  </si>
  <si>
    <t>单位及项目名称</t>
  </si>
  <si>
    <t>财政专户管理资金收入</t>
  </si>
  <si>
    <t>财政拨款
(补助)</t>
  </si>
  <si>
    <t>非税
拨款</t>
  </si>
  <si>
    <t>上级补
助收入</t>
  </si>
  <si>
    <t>附属单位
上缴收入</t>
  </si>
  <si>
    <t>事业单位
经营收入</t>
  </si>
  <si>
    <t>乡村振兴驻村工作经费</t>
  </si>
  <si>
    <t>退休人员统筹待遇</t>
  </si>
  <si>
    <t>在职人员日常公用经费</t>
  </si>
  <si>
    <t>公务用车运行维护费</t>
  </si>
  <si>
    <t>公务交通补贴</t>
  </si>
  <si>
    <t>工资奖金津补贴</t>
  </si>
  <si>
    <t>社会养老保险缴费</t>
  </si>
  <si>
    <t>遗属人员</t>
  </si>
  <si>
    <t>退休人员公用经费</t>
  </si>
  <si>
    <t>住房公积金</t>
  </si>
  <si>
    <t>离退休费</t>
  </si>
  <si>
    <t>其他离退休人员公用经费</t>
  </si>
  <si>
    <t>工会经费</t>
  </si>
  <si>
    <t>中共市委政策研究室本级</t>
  </si>
  <si>
    <t>中共市委政法委员会本级</t>
  </si>
  <si>
    <t>离休人员公用经费</t>
  </si>
  <si>
    <t>011001</t>
  </si>
  <si>
    <r>
      <rPr>
        <sz val="11"/>
        <color rgb="FF000000"/>
        <rFont val="宋体"/>
        <charset val="134"/>
      </rPr>
      <t>0</t>
    </r>
    <r>
      <rPr>
        <sz val="11"/>
        <color indexed="8"/>
        <rFont val="Calibri"/>
        <charset val="0"/>
      </rPr>
      <t>12001</t>
    </r>
  </si>
  <si>
    <t>退休奖励性补贴</t>
  </si>
  <si>
    <t>伤残保健金</t>
  </si>
  <si>
    <t>中共市委统战部本级</t>
  </si>
  <si>
    <t>市农业特色产业发展中心</t>
  </si>
  <si>
    <t>湖枢纽工程管理站</t>
  </si>
  <si>
    <t>201001</t>
  </si>
  <si>
    <t>201002</t>
  </si>
  <si>
    <t>201003</t>
  </si>
  <si>
    <t>201004</t>
  </si>
  <si>
    <t>201005</t>
  </si>
  <si>
    <t>202001</t>
  </si>
  <si>
    <t>203001</t>
  </si>
  <si>
    <t>204001</t>
  </si>
  <si>
    <t>204002</t>
  </si>
  <si>
    <t>204003</t>
  </si>
  <si>
    <t>204004</t>
  </si>
  <si>
    <t>205001</t>
  </si>
  <si>
    <t>205002</t>
  </si>
  <si>
    <t>205003</t>
  </si>
  <si>
    <t>其他工资福利支出</t>
  </si>
  <si>
    <t>205004</t>
  </si>
  <si>
    <t>205005</t>
  </si>
  <si>
    <t>205006</t>
  </si>
  <si>
    <t>205008</t>
  </si>
  <si>
    <t>205009</t>
  </si>
  <si>
    <t>205010</t>
  </si>
  <si>
    <t>205011</t>
  </si>
  <si>
    <t>205012</t>
  </si>
  <si>
    <t>205013</t>
  </si>
  <si>
    <t>205014</t>
  </si>
  <si>
    <t>205015</t>
  </si>
  <si>
    <t>205016</t>
  </si>
  <si>
    <t>205017</t>
  </si>
  <si>
    <t>205018</t>
  </si>
  <si>
    <t>205019</t>
  </si>
  <si>
    <t>205020</t>
  </si>
  <si>
    <t>205021</t>
  </si>
  <si>
    <t>205022</t>
  </si>
  <si>
    <t>205023</t>
  </si>
  <si>
    <t>206001</t>
  </si>
  <si>
    <t>207001</t>
  </si>
  <si>
    <t>市自然资源和规划局本级</t>
  </si>
  <si>
    <t>601001</t>
  </si>
  <si>
    <t>602001</t>
  </si>
  <si>
    <t>602002</t>
  </si>
  <si>
    <t>市文化和旅游市场综合执法大队</t>
  </si>
  <si>
    <t>602003</t>
  </si>
  <si>
    <t>602004</t>
  </si>
  <si>
    <t>602005</t>
  </si>
  <si>
    <t>602006</t>
  </si>
  <si>
    <t>602007</t>
  </si>
  <si>
    <t>603001</t>
  </si>
  <si>
    <t>604001</t>
  </si>
  <si>
    <t>605001</t>
  </si>
  <si>
    <t>605002</t>
  </si>
  <si>
    <t>605003</t>
  </si>
  <si>
    <t>605004</t>
  </si>
  <si>
    <t>605005</t>
  </si>
  <si>
    <t>605006</t>
  </si>
  <si>
    <t>605007</t>
  </si>
  <si>
    <t>605008</t>
  </si>
  <si>
    <t>助学金</t>
  </si>
  <si>
    <t>605009</t>
  </si>
  <si>
    <t>605010</t>
  </si>
  <si>
    <t>605011</t>
  </si>
  <si>
    <t>605012</t>
  </si>
  <si>
    <t>605013</t>
  </si>
  <si>
    <t>605014</t>
  </si>
  <si>
    <t>605015</t>
  </si>
  <si>
    <t>605016</t>
  </si>
  <si>
    <t>605017</t>
  </si>
  <si>
    <t>605018</t>
  </si>
  <si>
    <t>605019</t>
  </si>
  <si>
    <t>605020</t>
  </si>
  <si>
    <t>605021</t>
  </si>
  <si>
    <t>605022</t>
  </si>
  <si>
    <t>605023</t>
  </si>
  <si>
    <t>605024</t>
  </si>
  <si>
    <t>605025</t>
  </si>
  <si>
    <t>605026</t>
  </si>
  <si>
    <t>605027</t>
  </si>
  <si>
    <t>605028</t>
  </si>
  <si>
    <t>605029</t>
  </si>
  <si>
    <t>605030</t>
  </si>
  <si>
    <t>605031</t>
  </si>
  <si>
    <t>605032</t>
  </si>
  <si>
    <t>605033</t>
  </si>
  <si>
    <t>605034</t>
  </si>
  <si>
    <t>605035</t>
  </si>
  <si>
    <t>605036</t>
  </si>
  <si>
    <t>605037</t>
  </si>
  <si>
    <t>605038</t>
  </si>
  <si>
    <t>市开发区下冯小学</t>
  </si>
  <si>
    <t>605039</t>
  </si>
  <si>
    <t>605040</t>
  </si>
  <si>
    <t>605041</t>
  </si>
  <si>
    <t>605042</t>
  </si>
  <si>
    <t>605043</t>
  </si>
  <si>
    <t>605044</t>
  </si>
  <si>
    <t>605045</t>
  </si>
  <si>
    <t>605046</t>
  </si>
  <si>
    <t>605047</t>
  </si>
  <si>
    <t>605048</t>
  </si>
  <si>
    <t>605049</t>
  </si>
  <si>
    <t>605050</t>
  </si>
  <si>
    <t>605051</t>
  </si>
  <si>
    <t>605052</t>
  </si>
  <si>
    <t>606001</t>
  </si>
  <si>
    <t>607001</t>
  </si>
  <si>
    <t>608001</t>
  </si>
  <si>
    <t>还地桥镇统计中心</t>
  </si>
  <si>
    <t>在职人员公用经费</t>
  </si>
  <si>
    <t>金山店镇统计中心</t>
  </si>
  <si>
    <t>茗山乡统计中心</t>
  </si>
  <si>
    <t>金牛镇防治艾滋病工作委员会办公室</t>
  </si>
  <si>
    <t>殷祖镇统计中心</t>
  </si>
  <si>
    <t>东风路街道财政所</t>
  </si>
  <si>
    <t>黄石大冶湖高新区管委会本级</t>
  </si>
  <si>
    <t>2024年部门预算其他运转类和特定目标类项目支出表</t>
  </si>
  <si>
    <r>
      <rPr>
        <sz val="10.5"/>
        <color indexed="8"/>
        <rFont val="黑体"/>
        <charset val="134"/>
      </rPr>
      <t>单位
编码</t>
    </r>
  </si>
  <si>
    <t>财政拨款(补助)</t>
  </si>
  <si>
    <t>市委办公室本级</t>
  </si>
  <si>
    <t>机关后勤事务人员经费</t>
  </si>
  <si>
    <t>专项会议及培训经费</t>
  </si>
  <si>
    <t>市委市政府接待处专项接待经费</t>
  </si>
  <si>
    <t>保密及督查工作经费</t>
  </si>
  <si>
    <t>市委大楼维修及网络维护费</t>
  </si>
  <si>
    <t>市委政研室本级</t>
  </si>
  <si>
    <t>对上对外宣传及重大课题调研经费</t>
  </si>
  <si>
    <t>市发展战略规划(2021-2035)</t>
  </si>
  <si>
    <t>大冶发展研究办刊及调研文集综合文稿编印</t>
  </si>
  <si>
    <t>驻黄石汉办群众工作窗口经费</t>
  </si>
  <si>
    <t>信访维稳保障专项</t>
  </si>
  <si>
    <t>市级配套信访解难资金</t>
  </si>
  <si>
    <t>市委组织部本级</t>
  </si>
  <si>
    <t>干部教育培训经费(含铜都大讲堂)</t>
  </si>
  <si>
    <t>老干部工作经费</t>
  </si>
  <si>
    <t>拨关工委组建德育美育社会课堂经费</t>
  </si>
  <si>
    <t>休干所、老年大学、老干部活动中心工作经费</t>
  </si>
  <si>
    <t>企业离休人员离休补贴</t>
  </si>
  <si>
    <t>专用网络信息维护费</t>
  </si>
  <si>
    <t>干部招录管理工作经费</t>
  </si>
  <si>
    <t>基层组织建设工作及宣传经费</t>
  </si>
  <si>
    <t>市委人才办</t>
  </si>
  <si>
    <t>非教育类人才工作经费</t>
  </si>
  <si>
    <t>教育人才工作经费</t>
  </si>
  <si>
    <t>市委政法委本级</t>
  </si>
  <si>
    <t>综合治理工作经费</t>
  </si>
  <si>
    <t>铁路护路联防经费</t>
  </si>
  <si>
    <t>人民调解工作经费</t>
  </si>
  <si>
    <t>驻北京维稳工作专班工作经费</t>
  </si>
  <si>
    <t>以钱养事调解员工作经费</t>
  </si>
  <si>
    <t>打击非访工作经费</t>
  </si>
  <si>
    <t>平安创建、社区禁毒专项经费</t>
  </si>
  <si>
    <t>企业家人才培养专项资金</t>
  </si>
  <si>
    <t>商会服务中心工作经费</t>
  </si>
  <si>
    <t>以钱养事人员经费</t>
  </si>
  <si>
    <t>商会建设、政治特别费及以钱养事人员经费</t>
  </si>
  <si>
    <t>乡镇妇联专项工作经费、妇儿工委工作经费</t>
  </si>
  <si>
    <t>妇女工作经费对附属单位补助支出</t>
  </si>
  <si>
    <t>基层共青团工作经费</t>
  </si>
  <si>
    <t>青少年事务社工以钱养事人员经费</t>
  </si>
  <si>
    <t>预算联网专项</t>
  </si>
  <si>
    <t>机关后勤事务劳务费</t>
  </si>
  <si>
    <t>人大其他工作经费</t>
  </si>
  <si>
    <t>人大会议经费</t>
  </si>
  <si>
    <t>代表培训活动经费</t>
  </si>
  <si>
    <t>人大宣传视察经费</t>
  </si>
  <si>
    <t>政协会议经费</t>
  </si>
  <si>
    <t>政协活动工作经费</t>
  </si>
  <si>
    <t>机关事务劳务经费</t>
  </si>
  <si>
    <t>政协委员培训及活动经费</t>
  </si>
  <si>
    <t>机关后勤事务费用</t>
  </si>
  <si>
    <t>市政府办调研工作经费</t>
  </si>
  <si>
    <t>政府办公楼楼面维修及水电维修</t>
  </si>
  <si>
    <t>金融办、信息中心、督办室工作经费</t>
  </si>
  <si>
    <t>电子政务站平台专网租赁费</t>
  </si>
  <si>
    <t>市政府办大型会议费用</t>
  </si>
  <si>
    <t>总值班室工作经费</t>
  </si>
  <si>
    <t>市政府办培训宣传经费</t>
  </si>
  <si>
    <t>视频专线</t>
  </si>
  <si>
    <t>公车劳务费</t>
  </si>
  <si>
    <t>机关后勤服务管理</t>
  </si>
  <si>
    <t>市委编办本级</t>
  </si>
  <si>
    <t>机构改革工作经费</t>
  </si>
  <si>
    <t>经济普查人员经费及“四上”企业管理人员补助</t>
  </si>
  <si>
    <t>第五次全国经济普查项目经费</t>
  </si>
  <si>
    <t>以钱养事人员经费对附属单位补助支出</t>
  </si>
  <si>
    <t>统计相关工作项目经费</t>
  </si>
  <si>
    <t>统计百强及相关统计基层基础工作经费</t>
  </si>
  <si>
    <t>单位名录库维护及信息共享经费</t>
  </si>
  <si>
    <t>政府投资项目审计咨询服务费</t>
  </si>
  <si>
    <t>经济责任审计工作经费</t>
  </si>
  <si>
    <t>政府雇员工资</t>
  </si>
  <si>
    <t>政府投资审计日常办公工作经费</t>
  </si>
  <si>
    <t>股权、矿权转让评估费</t>
  </si>
  <si>
    <t>资产收益中心下属企业资产维护经费</t>
  </si>
  <si>
    <t>财政部门管理工作专项经费</t>
  </si>
  <si>
    <t>信息化建设及网络维护服务费</t>
  </si>
  <si>
    <t>评审中心工作经费</t>
  </si>
  <si>
    <t>财源办建设项目经费</t>
  </si>
  <si>
    <t>出入境证件费</t>
  </si>
  <si>
    <t>羁押收教场所经费</t>
  </si>
  <si>
    <t>反恐工作经费</t>
  </si>
  <si>
    <t>禁毒专项经费、举报奖励</t>
  </si>
  <si>
    <t>平安城市视频监控系统日常运转经费</t>
  </si>
  <si>
    <t>中央及省政法纪检监察转移支付资金</t>
  </si>
  <si>
    <t>协警队员及看护辅警经费</t>
  </si>
  <si>
    <t>辅警奖励基金</t>
  </si>
  <si>
    <t>公安专项业务支出</t>
  </si>
  <si>
    <t>社区矫正</t>
  </si>
  <si>
    <t>司法行政辅助人员经费</t>
  </si>
  <si>
    <t>行政复议</t>
  </si>
  <si>
    <t>行政复议“一链三环”</t>
  </si>
  <si>
    <t>法治宣传教育</t>
  </si>
  <si>
    <t>法律援助</t>
  </si>
  <si>
    <t>法治大冶</t>
  </si>
  <si>
    <t>行政诉讼</t>
  </si>
  <si>
    <t>市委统战部本级</t>
  </si>
  <si>
    <t>民族宗教对附属单位补助支出</t>
  </si>
  <si>
    <t>民宗“以钱养事”经费</t>
  </si>
  <si>
    <t>统战工作办公经费对附属单位补助支出</t>
  </si>
  <si>
    <t>市纪律检查委员会本级</t>
  </si>
  <si>
    <t>内网信息化建设专项经费</t>
  </si>
  <si>
    <t>互联网+监督专项经费</t>
  </si>
  <si>
    <t>信访举报宣传及信访举报人奖励经费</t>
  </si>
  <si>
    <t>辅警及办案辅助人员工作经费</t>
  </si>
  <si>
    <t>办案专项业务经费</t>
  </si>
  <si>
    <t>党风政风监督专项经费</t>
  </si>
  <si>
    <t>宣传教育、业务培训专项经费</t>
  </si>
  <si>
    <t>市委巡察办本级</t>
  </si>
  <si>
    <t>巡察工作项目经费</t>
  </si>
  <si>
    <t>市场监督管理日常监管经费</t>
  </si>
  <si>
    <t>市场监督管理抽样工作经费</t>
  </si>
  <si>
    <t>执法用车特种用车经费</t>
  </si>
  <si>
    <t>市场监督管理以钱养事人员经费</t>
  </si>
  <si>
    <t>知识产权保护专项经费</t>
  </si>
  <si>
    <t>市场监督管理特种设备专家人员经费</t>
  </si>
  <si>
    <t>食品安全监管工作经费</t>
  </si>
  <si>
    <t>档案数字化工作经费</t>
  </si>
  <si>
    <t>党史、组织史专项</t>
  </si>
  <si>
    <t>档案征集、编研、利用专项</t>
  </si>
  <si>
    <t>档案保护专项</t>
  </si>
  <si>
    <t>年鉴、方志专项</t>
  </si>
  <si>
    <t>新档案馆日常运行维护费用</t>
  </si>
  <si>
    <t>破产改制企业档案专项</t>
  </si>
  <si>
    <t>劳动竞赛、劳模资金、困难帮扶对附属单位补助支出</t>
  </si>
  <si>
    <t>市推进高标准农田建设协调工作经费</t>
  </si>
  <si>
    <t>三农专项工作经费</t>
  </si>
  <si>
    <t>农业技术推广中心大楼管理经费</t>
  </si>
  <si>
    <t>信防维稳工作经费</t>
  </si>
  <si>
    <t>畜牧工作专项经费</t>
  </si>
  <si>
    <t>犬类留检所运行经费</t>
  </si>
  <si>
    <t>农业综合执法畜产品安全监测经费</t>
  </si>
  <si>
    <t>农业综合执法乡镇检疫工作经费</t>
  </si>
  <si>
    <t>农村能源建设经费</t>
  </si>
  <si>
    <t>重金属污染防治经费</t>
  </si>
  <si>
    <t>农业病虫害防治</t>
  </si>
  <si>
    <t>“菜篮子工程”基地建设、蔬菜及食用菌产业发展</t>
  </si>
  <si>
    <t>农机购置补贴方案实施工作经费</t>
  </si>
  <si>
    <t>水产新技术、新品种、新模式推广及检验检测</t>
  </si>
  <si>
    <t>办公楼租金及物业管理费</t>
  </si>
  <si>
    <t>农村综合产权交易、金融服务经费</t>
  </si>
  <si>
    <t>网络平台维护费</t>
  </si>
  <si>
    <t>原企业金融服务人员工作经费</t>
  </si>
  <si>
    <t>土地纠纷仲裁费</t>
  </si>
  <si>
    <t>农村集体资产清产核资和农村财务审计</t>
  </si>
  <si>
    <t>农村集体“三资”监管经费</t>
  </si>
  <si>
    <t>农村土地承包三权分离专项及数据维护运行经费</t>
  </si>
  <si>
    <t>新型农业经营主体培育专项经费</t>
  </si>
  <si>
    <t>水政监察执法工作及人员经费</t>
  </si>
  <si>
    <t>全市水利水电质量监督及飞行检测工作经费</t>
  </si>
  <si>
    <t>水利体制改革落岗人员经费</t>
  </si>
  <si>
    <t>库区移后扶工作经费</t>
  </si>
  <si>
    <t>水土保持专项工作经费</t>
  </si>
  <si>
    <t>气象服务和气象两个体系建设专项</t>
  </si>
  <si>
    <t>气象事业发展补助经费</t>
  </si>
  <si>
    <t>湖北保安湖国家湿地公园运行管护经费</t>
  </si>
  <si>
    <t>巩固脱贫攻坚成果专项工作经费</t>
  </si>
  <si>
    <t>老区促进会专项工作经费</t>
  </si>
  <si>
    <t>以钱养事防返贫监测专职信息员经费</t>
  </si>
  <si>
    <t>城乡特困供养资金</t>
  </si>
  <si>
    <t>行政区域界线勘界工作及地面普查专项业务经费</t>
  </si>
  <si>
    <t>社会组织孵化基地日常运行经费</t>
  </si>
  <si>
    <t>千年古县会费</t>
  </si>
  <si>
    <t>事实无人抚养儿童基本生活补贴</t>
  </si>
  <si>
    <t>临时救助资金</t>
  </si>
  <si>
    <t>社会救济对象人员经费</t>
  </si>
  <si>
    <t>社会组织法人离任审计、注销登记审计审批</t>
  </si>
  <si>
    <t>高龄老人津贴补助</t>
  </si>
  <si>
    <t>80周岁以上老人意外伤害保险</t>
  </si>
  <si>
    <t>未成年人关爱保护工作经费(含三留守保险)</t>
  </si>
  <si>
    <t>孤儿基本生活费</t>
  </si>
  <si>
    <t>精准扶贫兜底集中福利供养经费</t>
  </si>
  <si>
    <t>境内社会组织执法管理经费</t>
  </si>
  <si>
    <t>老龄专项业务经费</t>
  </si>
  <si>
    <t>残麻补助资金</t>
  </si>
  <si>
    <t>残疾人两项补贴</t>
  </si>
  <si>
    <t>社会救助管理员工资</t>
  </si>
  <si>
    <t>养老服务体系建设经费</t>
  </si>
  <si>
    <t>慈善总会工作经费</t>
  </si>
  <si>
    <t>城乡低保金</t>
  </si>
  <si>
    <t>社会救助及代管人员经费</t>
  </si>
  <si>
    <t>本级社会救助工作经费</t>
  </si>
  <si>
    <t>市婚俗改革工作</t>
  </si>
  <si>
    <t>以钱养事人员岗位经费</t>
  </si>
  <si>
    <t>其他民政项目支出</t>
  </si>
  <si>
    <t>婚姻登记工本费</t>
  </si>
  <si>
    <t>事业单位经营支出</t>
  </si>
  <si>
    <t>惠民殡葬资金</t>
  </si>
  <si>
    <t>以钱养事岗位人员费用</t>
  </si>
  <si>
    <t>其它资本性支出</t>
  </si>
  <si>
    <t>城乡福利院运转经费</t>
  </si>
  <si>
    <t>以钱养事人员劳务费</t>
  </si>
  <si>
    <t>集中供养孤儿及事实孤儿救助资金</t>
  </si>
  <si>
    <t>城乡特困人员集中供养资金</t>
  </si>
  <si>
    <t>流浪乞讨人员工作经费</t>
  </si>
  <si>
    <t>“阳光家园”残疾人托养项目经费</t>
  </si>
  <si>
    <t>农村“残麻”家庭生活救助经费</t>
  </si>
  <si>
    <t>残疾人信访维权</t>
  </si>
  <si>
    <t>残疾人教育工作经费</t>
  </si>
  <si>
    <t>贫困残疾人家庭无障碍设施改造经费</t>
  </si>
  <si>
    <t>残疾人精准康复</t>
  </si>
  <si>
    <t>市残疾人托养中心项目欠款及尾款待支付的经费</t>
  </si>
  <si>
    <t>康复培训、活动及宣传工作经费</t>
  </si>
  <si>
    <t>残疾人事务工作经费</t>
  </si>
  <si>
    <t>0-15岁残疾儿童康复救助经费</t>
  </si>
  <si>
    <t>假肢、矫形器适配工作经费</t>
  </si>
  <si>
    <t>残疾人意外伤害保险</t>
  </si>
  <si>
    <t>贫困精神病患者救助经费</t>
  </si>
  <si>
    <t>残疾人文体活动经费</t>
  </si>
  <si>
    <t>残疾人动态更新工作经费</t>
  </si>
  <si>
    <t>残疾人办证补贴</t>
  </si>
  <si>
    <t>残疾人扶贫工作经费</t>
  </si>
  <si>
    <t>非农户籍19户残疾人麻木车主困难补贴经费</t>
  </si>
  <si>
    <t>残疾人就业、创业经费</t>
  </si>
  <si>
    <t>残疾儿童康复救助家庭生活补助经费</t>
  </si>
  <si>
    <t>残疾人免费乘车经费</t>
  </si>
  <si>
    <t>以钱养事经费</t>
  </si>
  <si>
    <t>城镇职工医疗保险软件维护费</t>
  </si>
  <si>
    <t>慢性病鉴定费</t>
  </si>
  <si>
    <t>档案管理经费</t>
  </si>
  <si>
    <t>53年底前参军复员退伍军人医疗补助</t>
  </si>
  <si>
    <t>城乡医疗救助专项基金</t>
  </si>
  <si>
    <t>执法工作经费</t>
  </si>
  <si>
    <t>优先人员医疗保障服务经费</t>
  </si>
  <si>
    <t>医疗工伤生育工本费</t>
  </si>
  <si>
    <t>职工医疗保险征缴稽查经费</t>
  </si>
  <si>
    <t>村、社区卫生室医疗网络维护费</t>
  </si>
  <si>
    <t>职称评审费</t>
  </si>
  <si>
    <t>金保工程信息化经费</t>
  </si>
  <si>
    <t>档案数字化日常维护费用</t>
  </si>
  <si>
    <t>“三支一扶”人员经费</t>
  </si>
  <si>
    <t>公开招聘工作人员</t>
  </si>
  <si>
    <t>社保基金编审工作经费</t>
  </si>
  <si>
    <t>劳动监察办案费</t>
  </si>
  <si>
    <t>工伤经费</t>
  </si>
  <si>
    <t>以钱用事经费</t>
  </si>
  <si>
    <t>清理拖欠农民工工资经费</t>
  </si>
  <si>
    <t>仲裁办案费</t>
  </si>
  <si>
    <t>失业保险征缴工作经费</t>
  </si>
  <si>
    <t>人才服务及监管工作经费</t>
  </si>
  <si>
    <t>再就业资金本级配套</t>
  </si>
  <si>
    <t>档案管理工作经费</t>
  </si>
  <si>
    <t>创业就业工作经费</t>
  </si>
  <si>
    <t>档案室专项费用</t>
  </si>
  <si>
    <t>离退休人员生存认证经费</t>
  </si>
  <si>
    <t>网络维护费</t>
  </si>
  <si>
    <t>企业离休干部津补贴</t>
  </si>
  <si>
    <t>养老保险征缴工作经费</t>
  </si>
  <si>
    <t>城乡居民养老保险及失地养老保险工作经费</t>
  </si>
  <si>
    <t>精准扶贫、重度残疾养老保险财政代缴</t>
  </si>
  <si>
    <t>到龄离岗村医生活补助</t>
  </si>
  <si>
    <t>卫生血防经费</t>
  </si>
  <si>
    <t>村卫生室开展家庭医生签约服务APP网络运行费</t>
  </si>
  <si>
    <t>免费技术服务经费</t>
  </si>
  <si>
    <t>计生特困家庭等经费</t>
  </si>
  <si>
    <t>村卫生室建设运行保障经费</t>
  </si>
  <si>
    <t>市紧密型医共体运行经费</t>
  </si>
  <si>
    <t>乡村医生培训轮训经费</t>
  </si>
  <si>
    <t>优待人员医疗保障办公经费</t>
  </si>
  <si>
    <t>村卫生室医疗责任保险费</t>
  </si>
  <si>
    <t>病媒防治工作经费</t>
  </si>
  <si>
    <t>宣传教育经费</t>
  </si>
  <si>
    <t>乡村医生养老保险费</t>
  </si>
  <si>
    <t>村卫生室基本药物专项补助及基本运行补助</t>
  </si>
  <si>
    <t>爱卫工作经费</t>
  </si>
  <si>
    <t>老龄事业专项业务经费</t>
  </si>
  <si>
    <t>信息中心工作经费</t>
  </si>
  <si>
    <t>公共场所卫生监督管理专项</t>
  </si>
  <si>
    <t>职业卫生用人单位管理人员培训</t>
  </si>
  <si>
    <t>两非案件查处专项</t>
  </si>
  <si>
    <t>打击非法行医专项</t>
  </si>
  <si>
    <t>学校卫生监督管理专项</t>
  </si>
  <si>
    <t>对附属单位补助支出-国医馆租金经费</t>
  </si>
  <si>
    <t>对附属单位补助支出-优待人员医疗保障经费</t>
  </si>
  <si>
    <t>对附属单位补助支出-信息化建设</t>
  </si>
  <si>
    <t>对附属单位补助支出-重点学科建设</t>
  </si>
  <si>
    <t>专用材料</t>
  </si>
  <si>
    <t>服务性支出</t>
  </si>
  <si>
    <t>高龄高危孕产妇产检服务项目</t>
  </si>
  <si>
    <t>水电费</t>
  </si>
  <si>
    <t>聘用人员工资</t>
  </si>
  <si>
    <t>办公设备购置</t>
  </si>
  <si>
    <t>药品费用</t>
  </si>
  <si>
    <t>专用设备购置</t>
  </si>
  <si>
    <t>艾滋病稳控工作经费</t>
  </si>
  <si>
    <t>受(卖)血感染艾滋病人生活费</t>
  </si>
  <si>
    <t>艾滋病防治专项经费</t>
  </si>
  <si>
    <t>艾滋病人未成年子女生活困难补助</t>
  </si>
  <si>
    <t>艾滋病人农村低保调整</t>
  </si>
  <si>
    <t>艾滋病防治救助引导资金</t>
  </si>
  <si>
    <t>扩大免疫规划经费</t>
  </si>
  <si>
    <t>冷链、血防经费</t>
  </si>
  <si>
    <t>医疗设备购置</t>
  </si>
  <si>
    <t>重点学科建设</t>
  </si>
  <si>
    <t>医疗机构专人专区服务工作经费</t>
  </si>
  <si>
    <t>人才培养</t>
  </si>
  <si>
    <t>基础设施建设</t>
  </si>
  <si>
    <t>大冶市第三人民医院</t>
  </si>
  <si>
    <t>基本医疗保险</t>
  </si>
  <si>
    <t>基本养老保险</t>
  </si>
  <si>
    <t>大冶市罗家桥卫生院</t>
  </si>
  <si>
    <t>专用材料费</t>
  </si>
  <si>
    <t>其他商品和服务支出</t>
  </si>
  <si>
    <t>大冶市还地桥中心卫生院</t>
  </si>
  <si>
    <t>大冶市第四人民医院</t>
  </si>
  <si>
    <t>医疗专用设备购置</t>
  </si>
  <si>
    <t>大冶市金山店卫生院</t>
  </si>
  <si>
    <t>大冶市陈贵中心卫生院</t>
  </si>
  <si>
    <t>专项业务支出</t>
  </si>
  <si>
    <t>大冶市茗山卫生院</t>
  </si>
  <si>
    <t>药品及专用材料</t>
  </si>
  <si>
    <t>大冶市灵乡卫生院</t>
  </si>
  <si>
    <t>退伍军人以钱养事款</t>
  </si>
  <si>
    <t>大冶市刘仁八卫生院</t>
  </si>
  <si>
    <t>大冶市殷祖中心卫生院</t>
  </si>
  <si>
    <t>设备购置</t>
  </si>
  <si>
    <t>大冶市金湖卫生院</t>
  </si>
  <si>
    <t>专用设备</t>
  </si>
  <si>
    <t>大冶市大箕铺卫生院</t>
  </si>
  <si>
    <t>大冶市东风农场卫生院</t>
  </si>
  <si>
    <t>其他商品和服务</t>
  </si>
  <si>
    <t>优抚对象医疗保障经费</t>
  </si>
  <si>
    <t>优抚对象信息联络员补助费和业务培训经费</t>
  </si>
  <si>
    <t>市三级退役军人服务体系建设经费</t>
  </si>
  <si>
    <t>“解四难”资金</t>
  </si>
  <si>
    <t>有工作单位“两参”人员“两个补齐”政策资金</t>
  </si>
  <si>
    <t>企业军转干部困难生活补助</t>
  </si>
  <si>
    <t>“双拥”慰问资金</t>
  </si>
  <si>
    <t>“两参”人员城乡居民养老保险补助经费</t>
  </si>
  <si>
    <t>城乡义务兵家庭优待金</t>
  </si>
  <si>
    <t>县级以下英雄烈士纪念设施整修工程资金</t>
  </si>
  <si>
    <t>重点优抚对象抚恤补助金</t>
  </si>
  <si>
    <t>思想权益维护项目经费</t>
  </si>
  <si>
    <t>退役士兵一次性经济补助及技能培训经费</t>
  </si>
  <si>
    <t>部分两参人员和下岗志愿兵公益性岗位补贴</t>
  </si>
  <si>
    <t>市民兵工作专项奖补资金</t>
  </si>
  <si>
    <t>基层组织建设保障项目</t>
  </si>
  <si>
    <t>遗体、人体器官、造血干细胞捐献、无偿献血、应急体系建设</t>
  </si>
  <si>
    <t>市光伏发电市级补贴</t>
  </si>
  <si>
    <t>发改工作专项经费</t>
  </si>
  <si>
    <t>全市营商环境优化改革工作专项经费</t>
  </si>
  <si>
    <t>粮食市场监督及粮食安全首长责任制工作经费</t>
  </si>
  <si>
    <t>市转型发展促进中心工作经费</t>
  </si>
  <si>
    <t>听证工作经费</t>
  </si>
  <si>
    <t>“以钱养事”人员劳务费</t>
  </si>
  <si>
    <t>资源枯竭城市转型项目经费</t>
  </si>
  <si>
    <t>市项目协调督办工作经费</t>
  </si>
  <si>
    <t>成本调查与监审费用</t>
  </si>
  <si>
    <t>市信用信息共享平台运维及配套服务费</t>
  </si>
  <si>
    <t>节能评估项目费</t>
  </si>
  <si>
    <t>行政部门审批项目评审费</t>
  </si>
  <si>
    <t>价格监测费用</t>
  </si>
  <si>
    <t>涉案、涉纪案件财物价格的鉴证费用及办案经费</t>
  </si>
  <si>
    <t>政府购买公租房管理费用</t>
  </si>
  <si>
    <t>市既有住宅加装电梯项目</t>
  </si>
  <si>
    <t>小区物业管理工作经费</t>
  </si>
  <si>
    <t>住建系统政策法规宣传咨询费</t>
  </si>
  <si>
    <t>城市桥梁安全监测费</t>
  </si>
  <si>
    <t>完整社区专项规划及试点建设实施方案编制费用</t>
  </si>
  <si>
    <t>房地产信息统平台建设经费</t>
  </si>
  <si>
    <t>廉租房管理专项工作经费</t>
  </si>
  <si>
    <t>住建系统机房维护</t>
  </si>
  <si>
    <t>PPP项目绩效考核费用</t>
  </si>
  <si>
    <t>安全案件纠纷、信访维稳经费</t>
  </si>
  <si>
    <t>白蚁防治费</t>
  </si>
  <si>
    <t>市老城区城市更新专项规划编制费用</t>
  </si>
  <si>
    <t>农村危房改造工作经费</t>
  </si>
  <si>
    <t>农房、自建房屋安全隐患整治支持资金</t>
  </si>
  <si>
    <t>馆藏档案保护费</t>
  </si>
  <si>
    <t>拆迁征收工作经费</t>
  </si>
  <si>
    <t>旧改专班工作经费</t>
  </si>
  <si>
    <t>聘请安全专家、消防专家劳务费</t>
  </si>
  <si>
    <t>质量监督管理经费</t>
  </si>
  <si>
    <t>保障房工作经费</t>
  </si>
  <si>
    <t>工地施工设备、机械设备等设备检查费</t>
  </si>
  <si>
    <t>消防设计审查验收工作经费</t>
  </si>
  <si>
    <t>房屋安全管理专项经费</t>
  </si>
  <si>
    <t>城镇化建设管理工作经费</t>
  </si>
  <si>
    <t>劳务费-以钱养事人员经费</t>
  </si>
  <si>
    <t>房屋维修</t>
  </si>
  <si>
    <t>税金及附加</t>
  </si>
  <si>
    <t>附属服务及工作管理经费</t>
  </si>
  <si>
    <t>环卫市场化作业服务费</t>
  </si>
  <si>
    <t>城区吸污车、喷雾车及人员经费</t>
  </si>
  <si>
    <t>市城管局农村环境卫生长效机制费用</t>
  </si>
  <si>
    <t>渣土管理“以钱养事”岗位经费</t>
  </si>
  <si>
    <t>城市管理工作经费</t>
  </si>
  <si>
    <t>园林绿化管理工作专项经费</t>
  </si>
  <si>
    <t>碧桂园湿地公园管护经费</t>
  </si>
  <si>
    <t>青铜广场电子显示屏电费</t>
  </si>
  <si>
    <t>秋红枫管养经费</t>
  </si>
  <si>
    <t>苗圃基地租金</t>
  </si>
  <si>
    <t>城区绿化养护</t>
  </si>
  <si>
    <t>城区鲜花栽植</t>
  </si>
  <si>
    <t>金湖世纪林泵站等三闸四站人员工资及电费</t>
  </si>
  <si>
    <t>城南污水厂污泥处置费及运输费</t>
  </si>
  <si>
    <t>城西北污水厂污泥处置费及运输费</t>
  </si>
  <si>
    <t>沿湖路泵站运行维护</t>
  </si>
  <si>
    <t>建委污泥处置费及运输费</t>
  </si>
  <si>
    <t>平安城市视频监控运行维护经费</t>
  </si>
  <si>
    <t>增拨8座泵站电费</t>
  </si>
  <si>
    <t>燃气安全协管劳务费</t>
  </si>
  <si>
    <t>夜市工作经费</t>
  </si>
  <si>
    <t>公务执法用车运营维护费</t>
  </si>
  <si>
    <t>劳务费-招聘劳务人员经费</t>
  </si>
  <si>
    <t>尹家湖东岸日常维护经费</t>
  </si>
  <si>
    <t>尹家湖湖面管理专项经费</t>
  </si>
  <si>
    <t>红星湖等湖泊维护管理经费</t>
  </si>
  <si>
    <t>尹家湖公园东岸新增市政公用设施日常管养费用</t>
  </si>
  <si>
    <t>红星湖音乐喷泉电费</t>
  </si>
  <si>
    <t>尹家湖公园西岸日常维护经费</t>
  </si>
  <si>
    <t>尹家湖公园及泵站电费</t>
  </si>
  <si>
    <t>红星湖生态水环境整治一期运维费用</t>
  </si>
  <si>
    <t>青龙山公园日常维护及绿化管养经费</t>
  </si>
  <si>
    <t>青龙山公园以钱养事劳务费</t>
  </si>
  <si>
    <t>质监站工作运转经费</t>
  </si>
  <si>
    <t>后勤保障工作经费</t>
  </si>
  <si>
    <t>春运工作经费</t>
  </si>
  <si>
    <t>委托中介服务费</t>
  </si>
  <si>
    <t>水运、道路运输管理及安全生产等工作经费</t>
  </si>
  <si>
    <t>交通稽查以钱养事人员经费</t>
  </si>
  <si>
    <t>拖车费、停车费</t>
  </si>
  <si>
    <t>打击非法运营工作经费</t>
  </si>
  <si>
    <t>交通安全执法工作经费</t>
  </si>
  <si>
    <t>检测中心运营工作经费</t>
  </si>
  <si>
    <t>货车非法改装及超限超载整治工作经费</t>
  </si>
  <si>
    <t>农村寄递物流体系建设项目补助</t>
  </si>
  <si>
    <t>黄石市邮政管理局派驻机构工作经费</t>
  </si>
  <si>
    <t>路政管理支出</t>
  </si>
  <si>
    <t>国省干线养护管理</t>
  </si>
  <si>
    <t>农村公路及桥梁养护管理</t>
  </si>
  <si>
    <t>“四好农村路”示范县复核和示范乡镇创建经费</t>
  </si>
  <si>
    <t>农村公路设计、工可工作经费</t>
  </si>
  <si>
    <t>公共资源交易培训宣传费</t>
  </si>
  <si>
    <t>政务大厅网络及日常办公电子设备运维费</t>
  </si>
  <si>
    <t>中介超市(27项行政审批)经费</t>
  </si>
  <si>
    <t>政务大厅水、电、天然气费用</t>
  </si>
  <si>
    <t>互联网+监督平台软件、硬件运行维护费</t>
  </si>
  <si>
    <t>便民免费复印照相费用</t>
  </si>
  <si>
    <t>大厅相关保障工作经费</t>
  </si>
  <si>
    <t>电子政务、网络宽带、短信效能费</t>
  </si>
  <si>
    <t>便民免费邮寄工作经费</t>
  </si>
  <si>
    <t>全市“一张网”工作经费</t>
  </si>
  <si>
    <t>电子政务及网格化管理工作经费</t>
  </si>
  <si>
    <t>综窗改革工作经费</t>
  </si>
  <si>
    <t>项目建设推进相关工作经费</t>
  </si>
  <si>
    <t>优化经济发展环境工作经费</t>
  </si>
  <si>
    <t>综窗改革政务服务外包工作经费</t>
  </si>
  <si>
    <t>公共资源交易监查执法经费</t>
  </si>
  <si>
    <t>互联网+监督平台软件升级经费</t>
  </si>
  <si>
    <t>政务服务中心多证合一工作经费</t>
  </si>
  <si>
    <t>民情通热线服务相关费用</t>
  </si>
  <si>
    <t>通用电梯、空调维保费</t>
  </si>
  <si>
    <t>大数据和网络中心项目建设费用</t>
  </si>
  <si>
    <t>电子交易平台系统检测认证经费</t>
  </si>
  <si>
    <t>公告宣传经费</t>
  </si>
  <si>
    <t>专家评审劳务费</t>
  </si>
  <si>
    <t>优化营商环境工作经费</t>
  </si>
  <si>
    <t>电子交易平台运行建设运行经费</t>
  </si>
  <si>
    <t>远程异地评标平台建设运行经费</t>
  </si>
  <si>
    <t>国有工业用地出让挂牌主持人经费</t>
  </si>
  <si>
    <t>安全生产专家组人员劳务费</t>
  </si>
  <si>
    <t>第三方技术服务费</t>
  </si>
  <si>
    <t>安全生产监察人员经费</t>
  </si>
  <si>
    <t>救灾物资储备中心管理经费</t>
  </si>
  <si>
    <t>事故鉴定经费</t>
  </si>
  <si>
    <t>市森林消防中队人员经费</t>
  </si>
  <si>
    <t>安全生产领域违法举报奖励资金</t>
  </si>
  <si>
    <t>国有矿山驻矿安全员工资</t>
  </si>
  <si>
    <t>安委办办公经费</t>
  </si>
  <si>
    <t>安全生产事故预防经费</t>
  </si>
  <si>
    <t>安全生产监测监控及应用平台人员经费</t>
  </si>
  <si>
    <t>防灾减灾专项业务经费</t>
  </si>
  <si>
    <t>防震防灾工作经费</t>
  </si>
  <si>
    <t>执法车辆驾驶员劳务费</t>
  </si>
  <si>
    <t>应急管理监管执法工作经费</t>
  </si>
  <si>
    <t>安全管理应急工作经费</t>
  </si>
  <si>
    <t>安全隐患排查资金</t>
  </si>
  <si>
    <t>安全生产监测监控及应急平台工作经费</t>
  </si>
  <si>
    <t>国土空间生态修复管理经费</t>
  </si>
  <si>
    <t>自然资源建设管理经费</t>
  </si>
  <si>
    <t>矿山测量监管技术服务费</t>
  </si>
  <si>
    <t>市自然资源统一确权登记</t>
  </si>
  <si>
    <t>不动产登记优化营商环境费用</t>
  </si>
  <si>
    <t>市不动产登记系统升级改造</t>
  </si>
  <si>
    <t>规划编制与项目报批经费</t>
  </si>
  <si>
    <t>信访专项经费</t>
  </si>
  <si>
    <t>地质灾害预防与监测经费</t>
  </si>
  <si>
    <t>“多测合一”信息管理平台共建经费</t>
  </si>
  <si>
    <t>国土空间用途管制管理经费</t>
  </si>
  <si>
    <t>市城镇开发边界优化经费</t>
  </si>
  <si>
    <t>自然资源有偿使用和权益管理经费</t>
  </si>
  <si>
    <t>自然资源督察和行政执法经费</t>
  </si>
  <si>
    <t>自然资源源头保护与系统修复工作经费</t>
  </si>
  <si>
    <t>矿产资源管理经费</t>
  </si>
  <si>
    <t>自然资源与不动产确权登记经费</t>
  </si>
  <si>
    <t>绿色矿山建设监督管理经费</t>
  </si>
  <si>
    <t>黄坪山林场以钱养事人员经费</t>
  </si>
  <si>
    <t>市规划委员会专项经费</t>
  </si>
  <si>
    <t>采矿权新设变更延续登记委托事项中介服务费</t>
  </si>
  <si>
    <t>国土变更调查与测绘管理经费</t>
  </si>
  <si>
    <t>森林资源监督管理经费</t>
  </si>
  <si>
    <t>自然资源综合治理与人才队伍建设经费</t>
  </si>
  <si>
    <t>市集体土地所有权登记成果更新汇交工作经费</t>
  </si>
  <si>
    <t>朱鹮野化放归项目经费</t>
  </si>
  <si>
    <t>市耕地流失问题整改工作经费</t>
  </si>
  <si>
    <t>自然资源合理开发利用与评估经费</t>
  </si>
  <si>
    <t>自然资源调查监测与建设管理经费</t>
  </si>
  <si>
    <t>第一次全国自然灾害普查、地质灾害专项普查</t>
  </si>
  <si>
    <t>黄石市森林火灾高风险区综合治理建设项目(大冶段)</t>
  </si>
  <si>
    <t>城区8个农贸市场公厕运维费用</t>
  </si>
  <si>
    <t>电商工作经费</t>
  </si>
  <si>
    <t>城区农贸市场考核奖励资金</t>
  </si>
  <si>
    <t>国家级电子商务进农村综合示范项目本级配套</t>
  </si>
  <si>
    <t>企业信访维稳费用</t>
  </si>
  <si>
    <t>程春梅烧伤工伤补偿</t>
  </si>
  <si>
    <t>铜都商厦成本性支出</t>
  </si>
  <si>
    <t>招商引资经费</t>
  </si>
  <si>
    <t>2023年招商引资项目集中签约仪式费用</t>
  </si>
  <si>
    <t>产品检验辅助岗位以钱养事</t>
  </si>
  <si>
    <t>检验检测经费</t>
  </si>
  <si>
    <t>省级制造业单项冠军工作经费</t>
  </si>
  <si>
    <t>电力执法室工作经费</t>
  </si>
  <si>
    <t>支持工业企业技术改造工作经费</t>
  </si>
  <si>
    <t>再生资源综合利用奖励</t>
  </si>
  <si>
    <t>政府雇员费用</t>
  </si>
  <si>
    <t>工业互联网创新发展专项经费</t>
  </si>
  <si>
    <t>市深化“双千”活动指挥部办公室工作经费</t>
  </si>
  <si>
    <t>矽肺退休人员困难补贴</t>
  </si>
  <si>
    <t>退休人员管理费用</t>
  </si>
  <si>
    <t>原东风煤矿子弟小学4名教师养老金补差</t>
  </si>
  <si>
    <t>诗词楹联学会经费</t>
  </si>
  <si>
    <t>文化和旅游奖补专项资金</t>
  </si>
  <si>
    <t>鄂王城城址安防工程</t>
  </si>
  <si>
    <t>上冯村古村落文物保护经费</t>
  </si>
  <si>
    <t>村村响</t>
  </si>
  <si>
    <t>革命旧址管理中心以钱养事人员经费</t>
  </si>
  <si>
    <t>大冶兵暴旧址消防工程经费</t>
  </si>
  <si>
    <t>市老年诗联书画协会经费</t>
  </si>
  <si>
    <t>老体协经费</t>
  </si>
  <si>
    <t>三馆一站免费开放工作经费</t>
  </si>
  <si>
    <t>革命旧址管理中心经费</t>
  </si>
  <si>
    <t>鄂王城保护经费</t>
  </si>
  <si>
    <t>文物保护经费</t>
  </si>
  <si>
    <t>文体活动经费</t>
  </si>
  <si>
    <t>扫黄打非工作经费</t>
  </si>
  <si>
    <t>文化市场整治工作经费</t>
  </si>
  <si>
    <t>群众文化培训经费</t>
  </si>
  <si>
    <t>非物质文化遗产保护经费</t>
  </si>
  <si>
    <t>免费开放运行经费</t>
  </si>
  <si>
    <t>体育后备人才培养工作经费</t>
  </si>
  <si>
    <t>古籍保护经费</t>
  </si>
  <si>
    <t>图书馆免费开放运行经费</t>
  </si>
  <si>
    <t>购书经费</t>
  </si>
  <si>
    <t>剧场运行演出成本支出</t>
  </si>
  <si>
    <t>送戏下乡演出补助经费</t>
  </si>
  <si>
    <t>精品剧目创作经费</t>
  </si>
  <si>
    <t>博物馆安保经费</t>
  </si>
  <si>
    <t>遗址文物保护</t>
  </si>
  <si>
    <t>2023年主持人专项经费</t>
  </si>
  <si>
    <t>今日大冶刊号工作经费</t>
  </si>
  <si>
    <t>2023年安保工作经费</t>
  </si>
  <si>
    <t>云上新媒体、大冶政府网、长江云平台运维经费</t>
  </si>
  <si>
    <t>2023年电视问政栏目工作经费</t>
  </si>
  <si>
    <t>今日大冶办报工作经费</t>
  </si>
  <si>
    <t>网络回归人员工作经费</t>
  </si>
  <si>
    <t>2023年春晚经费</t>
  </si>
  <si>
    <t>2024年教育局本级教育专项经费</t>
  </si>
  <si>
    <t>学生资助2024本级配套</t>
  </si>
  <si>
    <t>义务教育生均公用经费本级配套</t>
  </si>
  <si>
    <t>退养民师、财拨代课教师2024年工资</t>
  </si>
  <si>
    <t>教育督导经费</t>
  </si>
  <si>
    <t>2023年示范幼儿园奖补资金</t>
  </si>
  <si>
    <t>学校安全综治后勤专项经费</t>
  </si>
  <si>
    <t>中小学幼儿园视频监控联网经费</t>
  </si>
  <si>
    <t>义务教育生均公用经费本级配套（安保经费）</t>
  </si>
  <si>
    <t>理化生实验考核经费</t>
  </si>
  <si>
    <t>教育信息化经费</t>
  </si>
  <si>
    <t>教研工作经费及试卷相关费</t>
  </si>
  <si>
    <t>市教育系统2022年教师、干部培训</t>
  </si>
  <si>
    <t>中高学考经费(1)</t>
  </si>
  <si>
    <t>中高学考考试经费(2)</t>
  </si>
  <si>
    <t>辅助人员工资</t>
  </si>
  <si>
    <t>学生生活补贴</t>
  </si>
  <si>
    <t>学生课后服务费</t>
  </si>
  <si>
    <t>交通补贴</t>
  </si>
  <si>
    <t>办公经费</t>
  </si>
  <si>
    <t>高中学校运转经费</t>
  </si>
  <si>
    <t>高中运转经费</t>
  </si>
  <si>
    <t>学校维修维护经费</t>
  </si>
  <si>
    <t>市委党校本级</t>
  </si>
  <si>
    <t>科级干部进修班</t>
  </si>
  <si>
    <t>教学科研图书资料费</t>
  </si>
  <si>
    <t>科普经费</t>
  </si>
  <si>
    <t>创建文明城市群众主体奖</t>
  </si>
  <si>
    <t>文明创建专项工作经费</t>
  </si>
  <si>
    <t>志愿服务激励回馈奖励项目资金</t>
  </si>
  <si>
    <t>新时代文明实践专项经费</t>
  </si>
  <si>
    <t>市委宣传部本级</t>
  </si>
  <si>
    <t>黄石日报大冶新闻版宣传经费</t>
  </si>
  <si>
    <t>文化名人、道德模范慰问费</t>
  </si>
  <si>
    <t>市委理论中心组学习及党员干部培训经费</t>
  </si>
  <si>
    <t>“扫黄打非”基层站点建设工作经费</t>
  </si>
  <si>
    <t>“大冶发布”政务微信公众号建设维护费</t>
  </si>
  <si>
    <t>公共文化服务体系建设资金</t>
  </si>
  <si>
    <t>网络舆情及新闻协调处置费</t>
  </si>
  <si>
    <t>未成年人思想道德建设经费</t>
  </si>
  <si>
    <t>乡镇老电影放映员生活补贴</t>
  </si>
  <si>
    <t>“以钱养事”岗位经费</t>
  </si>
  <si>
    <t>铜草花办刊经费</t>
  </si>
  <si>
    <t>兵役登记费</t>
  </si>
  <si>
    <t>营房管理费</t>
  </si>
  <si>
    <t>征兵服务站日常运转经费</t>
  </si>
  <si>
    <t>民兵训练费</t>
  </si>
  <si>
    <t>市民兵训练基地水电费</t>
  </si>
  <si>
    <t>民兵事业费</t>
  </si>
  <si>
    <t>国动委经费</t>
  </si>
  <si>
    <t>征兵工作经费</t>
  </si>
  <si>
    <t>消防救援公用经费及应急救援经费</t>
  </si>
  <si>
    <t>车辆装备购置经费</t>
  </si>
  <si>
    <t>专职消防经费及陈贵站运行经费</t>
  </si>
  <si>
    <t>国家综合性消防救援人员津贴及社保经费</t>
  </si>
  <si>
    <t>劲牌消防站人员及运行保障经费</t>
  </si>
  <si>
    <t>国家税务总局市税务局</t>
  </si>
  <si>
    <t>优化营商环境</t>
  </si>
  <si>
    <t>住房和社保费支出</t>
  </si>
  <si>
    <t>津补贴及绩效奖金</t>
  </si>
  <si>
    <t>协税护税</t>
  </si>
  <si>
    <t>对个人和家庭的补助支出</t>
  </si>
  <si>
    <t>市罗家桥街道办事处本级</t>
  </si>
  <si>
    <t>村级组织运转经费(地方出台)</t>
  </si>
  <si>
    <t>村级纪检委员岗位补贴</t>
  </si>
  <si>
    <t>驻村辅警补贴</t>
  </si>
  <si>
    <t>“隐消干部”生活补助</t>
  </si>
  <si>
    <t>村级组织运转经费(省保障范围)</t>
  </si>
  <si>
    <t>防返贫监测专职信息员岗位以钱养事</t>
  </si>
  <si>
    <t>社区人员运转经费(对附属单位补助支出)</t>
  </si>
  <si>
    <t>市罗家桥街道财政所</t>
  </si>
  <si>
    <t>乡镇财政所三资代理记账工作经费</t>
  </si>
  <si>
    <t>乡镇财政所财政资金监管工作经费</t>
  </si>
  <si>
    <t>市还地桥镇人民政府本级</t>
  </si>
  <si>
    <t>乡镇人力资源服务岗位以钱养事</t>
  </si>
  <si>
    <t>农业农村办办公费</t>
  </si>
  <si>
    <t>卫健中心疫情防控经费</t>
  </si>
  <si>
    <t>经发办工作经费</t>
  </si>
  <si>
    <t>政法办保安服务费</t>
  </si>
  <si>
    <t>村级组织运转经费(乡镇配套)</t>
  </si>
  <si>
    <t>大型推介会和现场会费用</t>
  </si>
  <si>
    <t>组织宣传办工作经费</t>
  </si>
  <si>
    <t>纪委工作经费</t>
  </si>
  <si>
    <t>创建办新闻媒体宣传经费</t>
  </si>
  <si>
    <t>政法办工作经费</t>
  </si>
  <si>
    <t>基层政府后勤服务岗位以钱养事</t>
  </si>
  <si>
    <t>社区人员运转经费</t>
  </si>
  <si>
    <t>驻村工作队工作保障经费</t>
  </si>
  <si>
    <t>村级纪检委员(监察信息员)岗位补贴</t>
  </si>
  <si>
    <t>解决信访问题补助经费</t>
  </si>
  <si>
    <t>农产品质量安管岗位以钱养事</t>
  </si>
  <si>
    <t>城镇建设项目支出</t>
  </si>
  <si>
    <t>工会工作经费</t>
  </si>
  <si>
    <t>统计分局工作经费</t>
  </si>
  <si>
    <t>档案馆办公费及卫生费</t>
  </si>
  <si>
    <t>支持中小企业发展支出</t>
  </si>
  <si>
    <t>招商项目办工作经费</t>
  </si>
  <si>
    <t>党政办工作经费</t>
  </si>
  <si>
    <t>市还地桥财政所</t>
  </si>
  <si>
    <t>市还地桥镇政务服务中心</t>
  </si>
  <si>
    <t>乡改人员及临时人员费用</t>
  </si>
  <si>
    <t>市还地桥镇综合行政执法大队</t>
  </si>
  <si>
    <t>综合行政执法大队工作经费</t>
  </si>
  <si>
    <t>市保安镇人民政府本级</t>
  </si>
  <si>
    <t>农产品质量检测</t>
  </si>
  <si>
    <t>驻村辅警岗位补贴</t>
  </si>
  <si>
    <t>保安镇农业农村发展项目支出</t>
  </si>
  <si>
    <t>保安镇行政运行及相关办公室运转项目支出</t>
  </si>
  <si>
    <t>乡镇纪检委员、监察信息事务</t>
  </si>
  <si>
    <t>城建环卫执法事务</t>
  </si>
  <si>
    <t>矿山治理修复工程项目支出</t>
  </si>
  <si>
    <t>保安镇综治中心事务支出</t>
  </si>
  <si>
    <t>保安镇镇区规划、基础设施建设及维护支出</t>
  </si>
  <si>
    <t>保安镇镇区经济发展项目支出</t>
  </si>
  <si>
    <t>国有小三场综合改革转移支付</t>
  </si>
  <si>
    <t>财政资金监管工作经费</t>
  </si>
  <si>
    <t>市金山店镇人民政府本级</t>
  </si>
  <si>
    <t>农村农业生产发展资金</t>
  </si>
  <si>
    <t>村组织运转经费(本级配套)</t>
  </si>
  <si>
    <t>镇区保洁、垃圾清运项目</t>
  </si>
  <si>
    <t>乡镇单位正常运转补充保障经费</t>
  </si>
  <si>
    <t>村纪检委员(监察信息员)岗位补贴</t>
  </si>
  <si>
    <t>镇区基础设施建设和维护</t>
  </si>
  <si>
    <t>社区建设工作经费</t>
  </si>
  <si>
    <t>市陈贵镇人民政府本级</t>
  </si>
  <si>
    <t>政法办经费</t>
  </si>
  <si>
    <t>偿债准备金</t>
  </si>
  <si>
    <t>新卫生院装修费用</t>
  </si>
  <si>
    <t>城建办经费</t>
  </si>
  <si>
    <t>科学技术普及工作经费</t>
  </si>
  <si>
    <t>武装部工作经费</t>
  </si>
  <si>
    <t>招商办经费</t>
  </si>
  <si>
    <t>教育工作经费</t>
  </si>
  <si>
    <t>美丽乡村建设配套项目资金</t>
  </si>
  <si>
    <t>文体中心经费</t>
  </si>
  <si>
    <t>环委会办公室经费</t>
  </si>
  <si>
    <t>村级组织运转经费(乡镇承担部分)</t>
  </si>
  <si>
    <t>雷山名胜风景区管理处经费</t>
  </si>
  <si>
    <t>财政事务支出</t>
  </si>
  <si>
    <t>后勤服务中心经费</t>
  </si>
  <si>
    <t>税务分局税收征管支出</t>
  </si>
  <si>
    <t>政府行政运行经费</t>
  </si>
  <si>
    <t>兽医中心防疫业务经费</t>
  </si>
  <si>
    <t>对镇内企业投入支出</t>
  </si>
  <si>
    <t>社会事务办经费</t>
  </si>
  <si>
    <t>综合行政执法大队经费</t>
  </si>
  <si>
    <t>社区经费(乡镇承担部分)</t>
  </si>
  <si>
    <t>经发办经费</t>
  </si>
  <si>
    <t>退役军人服务站人员经费</t>
  </si>
  <si>
    <t>农业农村办办公经费及涉农项目支出</t>
  </si>
  <si>
    <t>政务服务中心经费</t>
  </si>
  <si>
    <t>农机中心经费</t>
  </si>
  <si>
    <t>预备费</t>
  </si>
  <si>
    <t>镇人大工作经费</t>
  </si>
  <si>
    <t>统计分局经费</t>
  </si>
  <si>
    <t>镇城投公司经费</t>
  </si>
  <si>
    <t>市陈贵财政所</t>
  </si>
  <si>
    <t>市茗山乡人民政府本级</t>
  </si>
  <si>
    <t>辖区城建监管(拆违控违)以钱养事</t>
  </si>
  <si>
    <t>茗山乡桑蚕、茶叶、蔬菜等产业发展资金</t>
  </si>
  <si>
    <t>茗山乡行政运行经费</t>
  </si>
  <si>
    <t>茗山乡城建环卫执法经费</t>
  </si>
  <si>
    <t>茗山乡莲花节节庆活动</t>
  </si>
  <si>
    <t>茗山乡村BA活动经费</t>
  </si>
  <si>
    <t>农业农村事务</t>
  </si>
  <si>
    <t>茗山乡人社中心以钱养事人员经费</t>
  </si>
  <si>
    <t>市灵乡镇人民政府本级</t>
  </si>
  <si>
    <t>镇区环境整治及绿化提档升级</t>
  </si>
  <si>
    <t>村庄设施建设</t>
  </si>
  <si>
    <t>执法人员经费</t>
  </si>
  <si>
    <t>灵乡园区招商服务、日常维护经费</t>
  </si>
  <si>
    <t>镇区基础设施建设</t>
  </si>
  <si>
    <t>农业生产及防护防汛</t>
  </si>
  <si>
    <t>治安巡逻安保服务</t>
  </si>
  <si>
    <t>安全生产经费</t>
  </si>
  <si>
    <t>公共卫生工作经费</t>
  </si>
  <si>
    <t>市灵乡财政所</t>
  </si>
  <si>
    <t>市灵乡镇政务服务中心</t>
  </si>
  <si>
    <t>落岗人员工资</t>
  </si>
  <si>
    <t>市金牛镇人民政府本级</t>
  </si>
  <si>
    <t>政府办公楼及附属楼修缮</t>
  </si>
  <si>
    <t>文化卫生音乐体育等公益设施建设</t>
  </si>
  <si>
    <t>路灯维修</t>
  </si>
  <si>
    <t>计算机和电子电器设备维护</t>
  </si>
  <si>
    <t>公务用车和环卫用车维修保养加油及保险费用</t>
  </si>
  <si>
    <t>镇区公共卫生保洁</t>
  </si>
  <si>
    <t>会议培训支出</t>
  </si>
  <si>
    <t>日常办公设备耗材购置</t>
  </si>
  <si>
    <t>文化宣传资料印制工作经费</t>
  </si>
  <si>
    <t>鄂王城遗址保护岗位以钱养事</t>
  </si>
  <si>
    <t>法律顾问服务</t>
  </si>
  <si>
    <t>防汛抗旱等灾害应急防控费用</t>
  </si>
  <si>
    <t>代理记账服务劳务费</t>
  </si>
  <si>
    <t>劳务派遣人员经费</t>
  </si>
  <si>
    <t>档案管理服务</t>
  </si>
  <si>
    <t>视频监控系统安装</t>
  </si>
  <si>
    <t>乡政财政所财政资金监管工作经费</t>
  </si>
  <si>
    <t>市刘仁八镇人民政府本级</t>
  </si>
  <si>
    <t>镇区保洁清扫、垃圾清运、绿化管护及环卫设施采购</t>
  </si>
  <si>
    <t>农产品质量安全岗位以钱养事</t>
  </si>
  <si>
    <t>乡村治理基础设施建设</t>
  </si>
  <si>
    <t>沟渠、塘堰、桥梁建设</t>
  </si>
  <si>
    <t>造林及防火线建设</t>
  </si>
  <si>
    <t>广告宣传服务</t>
  </si>
  <si>
    <t>政府劳务派遣</t>
  </si>
  <si>
    <t>办公设备采购及维修</t>
  </si>
  <si>
    <t>乡改人员保障经费</t>
  </si>
  <si>
    <t>法律服务</t>
  </si>
  <si>
    <t>市殷祖镇人民政府本级</t>
  </si>
  <si>
    <t>消防及抗旱防汛支出</t>
  </si>
  <si>
    <t>教育支出</t>
  </si>
  <si>
    <t>乡村振兴建设经费</t>
  </si>
  <si>
    <t>维稳经费</t>
  </si>
  <si>
    <t>防疫及卫健支出</t>
  </si>
  <si>
    <t>劳务派遣工资及劳务费</t>
  </si>
  <si>
    <t>日常运转支出</t>
  </si>
  <si>
    <t>城镇工程建设支出</t>
  </si>
  <si>
    <t>第三方服务费</t>
  </si>
  <si>
    <t>市金湖街道办事处本级</t>
  </si>
  <si>
    <t>农办事务经费</t>
  </si>
  <si>
    <t>金湖生态园管护费</t>
  </si>
  <si>
    <t>金湖街办巡逻队劳务费</t>
  </si>
  <si>
    <t>清廉金湖建设专项工程</t>
  </si>
  <si>
    <t>办事处办公设备替换为国产设备</t>
  </si>
  <si>
    <t>大泉村东山采石场矿山修复治理工程</t>
  </si>
  <si>
    <t>小区基层治理和示范点建设</t>
  </si>
  <si>
    <t>黄坪山排水工程</t>
  </si>
  <si>
    <t>金湖街办临水崖路段安装防护设施</t>
  </si>
  <si>
    <t>宣传项目经费</t>
  </si>
  <si>
    <t>宣传广告更新及宣传示范点打造</t>
  </si>
  <si>
    <t>余修齐生态公园日常管护费</t>
  </si>
  <si>
    <t>街办维修经费</t>
  </si>
  <si>
    <t>市金湖街道财政所</t>
  </si>
  <si>
    <t>市金湖街道综合执法中心</t>
  </si>
  <si>
    <t>辖区城建监管以钱养事及车辆费用</t>
  </si>
  <si>
    <t>市大箕铺镇人民政府本级</t>
  </si>
  <si>
    <t>镇域保洁清洁</t>
  </si>
  <si>
    <t>农产品质量安全以钱养事</t>
  </si>
  <si>
    <t>大箕铺镇果蔬冷链基础配设施建设项目</t>
  </si>
  <si>
    <t>辖区城建监管拆违控违以钱养事及车辆费用</t>
  </si>
  <si>
    <t>产业发展支持资金</t>
  </si>
  <si>
    <t>乡村振兴共同缔造</t>
  </si>
  <si>
    <t>村级及社区绩效补助</t>
  </si>
  <si>
    <t>大箕铺镇文化馆、档案馆、人社服务站及镇区游园建设</t>
  </si>
  <si>
    <t>政府房屋修缮</t>
  </si>
  <si>
    <t>大箕铺镇巡逻队、消防队劳务派遣</t>
  </si>
  <si>
    <t>大箕铺镇小箕铺中心小学迁址重建工程</t>
  </si>
  <si>
    <t>镇部门单位工作经费</t>
  </si>
  <si>
    <t>市东岳路街道办事处本级</t>
  </si>
  <si>
    <t>防汛抗旱专项支出</t>
  </si>
  <si>
    <t>办事处下属各部门单位工作经费</t>
  </si>
  <si>
    <t>科技支出</t>
  </si>
  <si>
    <t>社区建设</t>
  </si>
  <si>
    <t>辅警泰和保安服务费</t>
  </si>
  <si>
    <t>信访维稳支出</t>
  </si>
  <si>
    <t>创建专项支出</t>
  </si>
  <si>
    <t>代理费</t>
  </si>
  <si>
    <t>办事处设备购置维修费</t>
  </si>
  <si>
    <t>市东岳路街道财政所</t>
  </si>
  <si>
    <t>市东风路街道财政所</t>
  </si>
  <si>
    <t>市东风路街道办事处</t>
  </si>
  <si>
    <t>市东风农场管理区本级</t>
  </si>
  <si>
    <t>农场道路维修</t>
  </si>
  <si>
    <t>东风农场企业职工医疗保险</t>
  </si>
  <si>
    <t>乡镇人力资源服务岗以钱养事</t>
  </si>
  <si>
    <t>黄金湖民垸排涝站电费</t>
  </si>
  <si>
    <t>村级组织运转经费(省保障)</t>
  </si>
  <si>
    <t>国有农场剥离教育职能和农业税费改革转移支付</t>
  </si>
  <si>
    <t>农场自来水管道建设</t>
  </si>
  <si>
    <t>招商引资项目政策兑现</t>
  </si>
  <si>
    <t>行政审批局运转费用</t>
  </si>
  <si>
    <t>辖区城建监管(拆违控违)以钱养事及车辆费用</t>
  </si>
  <si>
    <t>罗桥街道党政宣传经费</t>
  </si>
  <si>
    <t>环卫所经费</t>
  </si>
  <si>
    <t>三创常态化及乡村振兴</t>
  </si>
  <si>
    <t>罗桥街道机关经费</t>
  </si>
  <si>
    <t>纪检监察工作经费</t>
  </si>
  <si>
    <t>高新区后勤保障经费</t>
  </si>
  <si>
    <t>党建组织经费</t>
  </si>
  <si>
    <t>盘活企业发展支出</t>
  </si>
  <si>
    <t>总部经济中心物业费</t>
  </si>
  <si>
    <t>东风政务服务和经济发展支出</t>
  </si>
  <si>
    <t>东风城建办经费</t>
  </si>
  <si>
    <t>东风平安建设办经费</t>
  </si>
  <si>
    <t>东风社会事务办经费</t>
  </si>
  <si>
    <t>外贸出口奖励性资金</t>
  </si>
  <si>
    <t>东风党政办工作经费</t>
  </si>
  <si>
    <t>东风街道社区经费</t>
  </si>
  <si>
    <t>东风纪工委事务支出</t>
  </si>
  <si>
    <t>土地空间规划与安全监查</t>
  </si>
  <si>
    <t>矿山恢复与地质灾害治理</t>
  </si>
  <si>
    <t>罗桥街道农业发展支出</t>
  </si>
  <si>
    <t>环境整治与监测</t>
  </si>
  <si>
    <t>罗桥街道社会事务支出</t>
  </si>
  <si>
    <t>罗桥街道综治维稳支出</t>
  </si>
  <si>
    <t>孵化器运营</t>
  </si>
  <si>
    <t>科技政策奖补与校企合作费用</t>
  </si>
  <si>
    <t>罗桥街道文化教育支出</t>
  </si>
  <si>
    <t>高新区财政事务支出</t>
  </si>
  <si>
    <t>专项普查活动经费</t>
  </si>
  <si>
    <t>城管劳务派遣人员工作经费</t>
  </si>
  <si>
    <t>公共环境安全整治</t>
  </si>
  <si>
    <t>科技园后勤保障费用</t>
  </si>
  <si>
    <t>行政政法股小计</t>
  </si>
  <si>
    <t>新老年大学运营经费</t>
  </si>
  <si>
    <t>政法委维稳救助专项经费</t>
  </si>
  <si>
    <t>检察院辅助人员“以钱养事”工作经费</t>
  </si>
  <si>
    <t>检察辅助人员帮扶救助金</t>
  </si>
  <si>
    <t>基层统战组织建设工作经费</t>
  </si>
  <si>
    <t>党建引领基层乡村治理工作经费</t>
  </si>
  <si>
    <t>法院相关事务辅助人员工作经费</t>
  </si>
  <si>
    <t>农业农村股小计</t>
  </si>
  <si>
    <t>2024年市委一号文</t>
  </si>
  <si>
    <t>社会保障股小计</t>
  </si>
  <si>
    <t>城乡居民养老保险本级配套</t>
  </si>
  <si>
    <t>工伤保险基金本级配套</t>
  </si>
  <si>
    <t>城乡居民医疗保险本级配套</t>
  </si>
  <si>
    <t>精准扶贫、重残对象医疗费财政代缴</t>
  </si>
  <si>
    <t>突发公共卫生事件处置经费</t>
  </si>
  <si>
    <t>基本公共卫生服务经费</t>
  </si>
  <si>
    <t>副县级医疗补助</t>
  </si>
  <si>
    <t>疾病应急救助资金</t>
  </si>
  <si>
    <t>新机关事业单位养老保险基金本级配套</t>
  </si>
  <si>
    <t>精神病患者治疗及监护以奖代补经费</t>
  </si>
  <si>
    <t>机关事业单位职业年金做实</t>
  </si>
  <si>
    <t>十二项利益导向和国有集体企业退休人员计生奖励</t>
  </si>
  <si>
    <t>春节困难群众及一线单位慰问</t>
  </si>
  <si>
    <t>结核病防治经费</t>
  </si>
  <si>
    <t>经济建设股小计</t>
  </si>
  <si>
    <t>公交公司政策性亏损补贴</t>
  </si>
  <si>
    <t>新型墙体材料专项基金返退</t>
  </si>
  <si>
    <t>建筑业发展奖励资金</t>
  </si>
  <si>
    <t>人防易地建设费</t>
  </si>
  <si>
    <t>旧改违建拆除奖补资金</t>
  </si>
  <si>
    <t>大冶北至上海虹桥列车运营补贴</t>
  </si>
  <si>
    <t>城区破损路面维修</t>
  </si>
  <si>
    <t>2023年老年人免费乘车、学生半价补贴</t>
  </si>
  <si>
    <t>武-黄城际铁路补亏</t>
  </si>
  <si>
    <t>查违控违专项工作经费</t>
  </si>
  <si>
    <t>污水处理费</t>
  </si>
  <si>
    <t>2024年度购房补贴</t>
  </si>
  <si>
    <t>路灯维护管理经费</t>
  </si>
  <si>
    <t>综合会计股小计</t>
  </si>
  <si>
    <t>绿水青山就是金山银山实践创新基地项目经费</t>
  </si>
  <si>
    <t>市生态文明市创建及宣传经费</t>
  </si>
  <si>
    <t>企业金融股小计</t>
  </si>
  <si>
    <t>四元民生保险保费补贴</t>
  </si>
  <si>
    <t>“四补”机制资金</t>
  </si>
  <si>
    <t>创业担保贷款及青创贷本级财政贴息</t>
  </si>
  <si>
    <t>铝型材产业发展专项奖励</t>
  </si>
  <si>
    <t>市直部门招商引资经费</t>
  </si>
  <si>
    <t>国际金融组织借款付息</t>
  </si>
  <si>
    <t>湖北省安全、可持续、智慧农业项目承诺费</t>
  </si>
  <si>
    <t>劲牌公司打假维权专项经费</t>
  </si>
  <si>
    <t>农业保险费补贴</t>
  </si>
  <si>
    <t>商贸业发展专项资金</t>
  </si>
  <si>
    <t>应用技术研究与开发专项资金</t>
  </si>
  <si>
    <t>个转企奖励资金</t>
  </si>
  <si>
    <t>外国政府借款利息</t>
  </si>
  <si>
    <t>教科文股小计</t>
  </si>
  <si>
    <t>申遗工作经费</t>
  </si>
  <si>
    <t>文艺激励资金</t>
  </si>
  <si>
    <t>精神文明建设经费</t>
  </si>
  <si>
    <t>义务教育生均公用经费本级配套（校医工作经费）</t>
  </si>
  <si>
    <t>国家考古遗址公园修编经费</t>
  </si>
  <si>
    <t>公共文化建设资金</t>
  </si>
  <si>
    <t>宣传文化激励资金</t>
  </si>
  <si>
    <t>预算股小计</t>
  </si>
  <si>
    <t>预留政策性增资调资</t>
  </si>
  <si>
    <t>一次性抚恤</t>
  </si>
  <si>
    <t>援助其他地区支出</t>
  </si>
  <si>
    <t>收回存量及结转结余资金继续实施项目</t>
  </si>
  <si>
    <t>公务用车购置</t>
  </si>
  <si>
    <t>项目前期方案编制等工作经费</t>
  </si>
  <si>
    <t>国库股小计</t>
  </si>
  <si>
    <t>银保监经费补助</t>
  </si>
  <si>
    <t>信用环境建设经费</t>
  </si>
  <si>
    <t>人民银行事业运行经费</t>
  </si>
  <si>
    <t>资产管理股小计</t>
  </si>
  <si>
    <t>国有企业职教幼教退休教师生活补贴</t>
  </si>
  <si>
    <t>市综改办小计</t>
  </si>
  <si>
    <t>解决乡改人员信访问题经费</t>
  </si>
  <si>
    <t>农村公益性服务“以钱养事”经费（省级）</t>
  </si>
  <si>
    <t>农村公益性服务“以钱养事”经费（本级）</t>
  </si>
  <si>
    <t>农村公益事业建设（本级）</t>
  </si>
  <si>
    <t>乡改人员养老保险“事企差”</t>
  </si>
  <si>
    <t>和美乡村建设（本级）</t>
  </si>
  <si>
    <t>市农村局小计</t>
  </si>
  <si>
    <t>黄金山托管区村级运转经费划转资金</t>
  </si>
  <si>
    <t>市投资办小计</t>
  </si>
  <si>
    <t>一般债券发行费</t>
  </si>
  <si>
    <t>一般债券利息及兑付费</t>
  </si>
  <si>
    <t>2024年一般公共预算财政拨款收支预算总表</t>
  </si>
  <si>
    <t>收         入</t>
  </si>
  <si>
    <t>支                          出</t>
  </si>
  <si>
    <t>预算数</t>
  </si>
  <si>
    <t>项目（按支出功能分类）</t>
  </si>
  <si>
    <t>财政拨款
（补助）</t>
  </si>
  <si>
    <t>纳入预算管理的
非收拨款</t>
  </si>
  <si>
    <t>纳入预算
管理的
非收拨款</t>
  </si>
  <si>
    <t>一、一般公共预算财政拨款收入</t>
  </si>
  <si>
    <t>201一般公共服务支出</t>
  </si>
  <si>
    <t>支出类别分类</t>
  </si>
  <si>
    <t>财政拨款（补助）</t>
  </si>
  <si>
    <t>204公共安全支出</t>
  </si>
  <si>
    <t>一、人员类项目支出</t>
  </si>
  <si>
    <t>205教育支出</t>
  </si>
  <si>
    <t xml:space="preserve">  工资福利支出</t>
  </si>
  <si>
    <t>206科学技术支出</t>
  </si>
  <si>
    <t xml:space="preserve">  对个人和家庭的补助</t>
  </si>
  <si>
    <t>207文化旅游体育与传媒支出</t>
  </si>
  <si>
    <t>二、运转类项目支出</t>
  </si>
  <si>
    <t>208社会保障和就业支出</t>
  </si>
  <si>
    <t xml:space="preserve">  公用经费项目支出</t>
  </si>
  <si>
    <t>210卫生健康支出</t>
  </si>
  <si>
    <t xml:space="preserve">  其他运转类项目支出</t>
  </si>
  <si>
    <t>211节能环保支出</t>
  </si>
  <si>
    <t>三、特定目标类项目支出</t>
  </si>
  <si>
    <t>212城乡社区支出</t>
  </si>
  <si>
    <t xml:space="preserve">  本级支出项目</t>
  </si>
  <si>
    <t>213农林水支出</t>
  </si>
  <si>
    <t xml:space="preserve">  转移性支出项目</t>
  </si>
  <si>
    <t>214交通运输支出</t>
  </si>
  <si>
    <t>215资源勘探信息等支出</t>
  </si>
  <si>
    <t>部门预算支出经济分类</t>
  </si>
  <si>
    <t>216商业服务业等支出</t>
  </si>
  <si>
    <t>301工资福利支出</t>
  </si>
  <si>
    <t>217金融支出</t>
  </si>
  <si>
    <t>302商品和服务支出</t>
  </si>
  <si>
    <t>219援助其他地区支出</t>
  </si>
  <si>
    <t>303对个人和家庭的补助</t>
  </si>
  <si>
    <t>220自然资源海洋气象等支出</t>
  </si>
  <si>
    <t>307债务利息及费用支出</t>
  </si>
  <si>
    <t>221住房保障支出</t>
  </si>
  <si>
    <t>309资本性支出(基建)</t>
  </si>
  <si>
    <t>222粮油物资储备支出</t>
  </si>
  <si>
    <t>310资本性支出</t>
  </si>
  <si>
    <t>224灾害防治及应急管理支出</t>
  </si>
  <si>
    <t>311对企业补助(基建)</t>
  </si>
  <si>
    <t>227预备费</t>
  </si>
  <si>
    <t>312对企业补助</t>
  </si>
  <si>
    <t>229其他支出</t>
  </si>
  <si>
    <t>313对社会保障基金补助</t>
  </si>
  <si>
    <t>232债务付息支出</t>
  </si>
  <si>
    <t>399其他支出</t>
  </si>
  <si>
    <t>233债务发行费用支出</t>
  </si>
  <si>
    <t>本年收入合计</t>
  </si>
  <si>
    <t>本年支出合计</t>
  </si>
  <si>
    <t>2024年一般公共预算支出表（支出类别分类）</t>
  </si>
  <si>
    <t>单位名称（简称）</t>
  </si>
  <si>
    <t>人员类
项目支出</t>
  </si>
  <si>
    <t>运转类项目支出</t>
  </si>
  <si>
    <t>特定目标类
项目支出</t>
  </si>
  <si>
    <t>公用经费类
项目支出</t>
  </si>
  <si>
    <t>其他运转类
项目支出</t>
  </si>
  <si>
    <t>市委人才工作领导小组办公室</t>
  </si>
  <si>
    <t>市委统战部</t>
  </si>
  <si>
    <t>市妇幼保健计划生育服务中心</t>
  </si>
  <si>
    <t>第四人民医院</t>
  </si>
  <si>
    <t>第二人民医院</t>
  </si>
  <si>
    <t>301001</t>
  </si>
  <si>
    <t>302001</t>
  </si>
  <si>
    <t>302007</t>
  </si>
  <si>
    <t>302008</t>
  </si>
  <si>
    <t>303001</t>
  </si>
  <si>
    <t>303002</t>
  </si>
  <si>
    <t>303003</t>
  </si>
  <si>
    <t>303004</t>
  </si>
  <si>
    <t>303005</t>
  </si>
  <si>
    <t>市城市管理综合执法大队</t>
  </si>
  <si>
    <t>303006</t>
  </si>
  <si>
    <t>304001</t>
  </si>
  <si>
    <t>304002</t>
  </si>
  <si>
    <t>市道路运输管理局</t>
  </si>
  <si>
    <t>304003</t>
  </si>
  <si>
    <t>市交通物流发展局</t>
  </si>
  <si>
    <t>304006</t>
  </si>
  <si>
    <t>304008</t>
  </si>
  <si>
    <t>305001</t>
  </si>
  <si>
    <t>306001</t>
  </si>
  <si>
    <t>307001</t>
  </si>
  <si>
    <t>市自然资源和规划局地灾项目</t>
  </si>
  <si>
    <t>市自然资源和规划局林业项目</t>
  </si>
  <si>
    <t>501001</t>
  </si>
  <si>
    <t>501002</t>
  </si>
  <si>
    <t>501003</t>
  </si>
  <si>
    <t>502001</t>
  </si>
  <si>
    <t>503001</t>
  </si>
  <si>
    <t>504001</t>
  </si>
  <si>
    <t>505001</t>
  </si>
  <si>
    <t>505002</t>
  </si>
  <si>
    <t>市电教馆</t>
  </si>
  <si>
    <t>市教研室</t>
  </si>
  <si>
    <t>市中小学教师继续教育中心</t>
  </si>
  <si>
    <t>金湖中心学校</t>
  </si>
  <si>
    <t>市委党校</t>
  </si>
  <si>
    <t>801001</t>
  </si>
  <si>
    <t>802001</t>
  </si>
  <si>
    <t>899001</t>
  </si>
  <si>
    <t>罗家桥街道本级</t>
  </si>
  <si>
    <t>还地桥镇本级</t>
  </si>
  <si>
    <t>保安镇本级</t>
  </si>
  <si>
    <t>金山店镇本级</t>
  </si>
  <si>
    <t>陈贵镇本级</t>
  </si>
  <si>
    <t>茗山乡本级</t>
  </si>
  <si>
    <t>灵乡镇本级</t>
  </si>
  <si>
    <t>金牛镇本级</t>
  </si>
  <si>
    <t>刘仁八镇本级</t>
  </si>
  <si>
    <t>殷祖镇本级</t>
  </si>
  <si>
    <t>金湖街道本级</t>
  </si>
  <si>
    <t>大箕铺镇本级</t>
  </si>
  <si>
    <t>东岳路街道本级</t>
  </si>
  <si>
    <t>东风路街道</t>
  </si>
  <si>
    <t>889001</t>
  </si>
  <si>
    <t>889002</t>
  </si>
  <si>
    <t>889003</t>
  </si>
  <si>
    <t>889004</t>
  </si>
  <si>
    <t>889005</t>
  </si>
  <si>
    <t>889006</t>
  </si>
  <si>
    <t>889007</t>
  </si>
  <si>
    <t>889008</t>
  </si>
  <si>
    <t>889009</t>
  </si>
  <si>
    <t>889011</t>
  </si>
  <si>
    <t>889013</t>
  </si>
  <si>
    <t>889016</t>
  </si>
  <si>
    <t>889019</t>
  </si>
  <si>
    <t>上级专项合计</t>
  </si>
  <si>
    <t>2024年一般公共预算支出表（功能项级分类）</t>
  </si>
  <si>
    <t>功能
科目
编码</t>
  </si>
  <si>
    <t>功能科目名称</t>
  </si>
  <si>
    <t>特定目标类项目支出</t>
  </si>
  <si>
    <t>公用经费
项目支出</t>
  </si>
  <si>
    <t>201</t>
  </si>
  <si>
    <t>一般公共服务支出</t>
  </si>
  <si>
    <t>　人大事务</t>
  </si>
  <si>
    <t>　　行政运行</t>
  </si>
  <si>
    <t>　　人大会议</t>
  </si>
  <si>
    <t>　　代表工作</t>
  </si>
  <si>
    <t>　　其他人大事务支出</t>
  </si>
  <si>
    <t>　政协事务</t>
  </si>
  <si>
    <t>　　其他政协事务支出</t>
  </si>
  <si>
    <t>　政府办公厅（室）及相关机构事务</t>
  </si>
  <si>
    <t>　　其他政府办公厅（室）及相关机构事务支出</t>
  </si>
  <si>
    <t>　发展与改革事务</t>
  </si>
  <si>
    <t>　　战略规划与实施</t>
  </si>
  <si>
    <t>　　社会事业发展规划</t>
  </si>
  <si>
    <t>　　其他发展与改革事务支出</t>
  </si>
  <si>
    <t>　统计信息事务</t>
  </si>
  <si>
    <t>　　专项普查活动</t>
  </si>
  <si>
    <t>　　事业运行</t>
  </si>
  <si>
    <t>　　其他统计信息事务支出</t>
  </si>
  <si>
    <t>　财政事务</t>
  </si>
  <si>
    <t>　　财政委托业务支出</t>
  </si>
  <si>
    <t>　　其他财政事务支出</t>
  </si>
  <si>
    <t>　税收事务</t>
  </si>
  <si>
    <t>　　其他税收事务支出</t>
  </si>
  <si>
    <t>　审计事务</t>
  </si>
  <si>
    <t>　　审计业务</t>
  </si>
  <si>
    <t>　　其他审计事务支出</t>
  </si>
  <si>
    <t>　纪检监察事务</t>
  </si>
  <si>
    <t>　　其他纪检监察事务支出</t>
  </si>
  <si>
    <t>　商贸事务</t>
  </si>
  <si>
    <t>　　招商引资</t>
  </si>
  <si>
    <t>　　其他商贸事务支出</t>
  </si>
  <si>
    <t>　民族事务</t>
  </si>
  <si>
    <t>　　民族工作专项</t>
  </si>
  <si>
    <t>　档案事务</t>
  </si>
  <si>
    <t>　　档案馆</t>
  </si>
  <si>
    <t>　　其他档案事务支出</t>
  </si>
  <si>
    <t>　民主党派及工商联事务</t>
  </si>
  <si>
    <t>　　其他民主党派及工商联事务支出</t>
  </si>
  <si>
    <t>　群众团体事务</t>
  </si>
  <si>
    <t>　　工会事务</t>
  </si>
  <si>
    <t>　　其他群众团体事务支出</t>
  </si>
  <si>
    <t>　党委办公厅（室）及相关机构事务</t>
  </si>
  <si>
    <t>　　其他党委办公厅（室）及相关机构事务支出</t>
  </si>
  <si>
    <t>　组织事务</t>
  </si>
  <si>
    <t>　　其他组织事务支出</t>
  </si>
  <si>
    <t>　宣传事务</t>
  </si>
  <si>
    <t>　　其他宣传事务支出</t>
  </si>
  <si>
    <t>　统战事务</t>
  </si>
  <si>
    <t>　　宗教事务</t>
  </si>
  <si>
    <t>　　其他统战事务支出</t>
  </si>
  <si>
    <t>　其他共产党事务支出</t>
  </si>
  <si>
    <t>　　其他共产党事务支出</t>
  </si>
  <si>
    <t>　市场监督管理事务</t>
  </si>
  <si>
    <t>　　食品安全监管</t>
  </si>
  <si>
    <t>　　其他市场监督管理事务</t>
  </si>
  <si>
    <t>　社会工作事务</t>
  </si>
  <si>
    <t>　　其他社会工作事务支出</t>
  </si>
  <si>
    <t>　信访事务</t>
  </si>
  <si>
    <t>　　其他信访事务支出</t>
  </si>
  <si>
    <t>　其他一般公共服务支出</t>
  </si>
  <si>
    <t>　　其他一般公共服务支出</t>
  </si>
  <si>
    <t>204</t>
  </si>
  <si>
    <t>公共安全支出</t>
  </si>
  <si>
    <t>　公安</t>
  </si>
  <si>
    <t>　　其他公安支出</t>
  </si>
  <si>
    <t>　检察</t>
  </si>
  <si>
    <t>　　其他检察支出</t>
  </si>
  <si>
    <t>　法院</t>
  </si>
  <si>
    <t>　　其他法院支出</t>
  </si>
  <si>
    <t>　司法</t>
  </si>
  <si>
    <t>　　一般行政管理事务</t>
  </si>
  <si>
    <t>　　机关服务</t>
  </si>
  <si>
    <t>　　普法宣传</t>
  </si>
  <si>
    <t>　　公共法律服务</t>
  </si>
  <si>
    <t>　　社区矫正</t>
  </si>
  <si>
    <t>　　法治建设</t>
  </si>
  <si>
    <t>　　其他司法支出</t>
  </si>
  <si>
    <t>　其他公共安全支出</t>
  </si>
  <si>
    <t>　　其他公共安全支出</t>
  </si>
  <si>
    <t>205</t>
  </si>
  <si>
    <t>　普通教育</t>
  </si>
  <si>
    <t>　　学前教育</t>
  </si>
  <si>
    <t>　　小学教育</t>
  </si>
  <si>
    <t>　　初中教育</t>
  </si>
  <si>
    <t>　　高中教育</t>
  </si>
  <si>
    <t>　　其他普通教育支出</t>
  </si>
  <si>
    <t>　职业教育</t>
  </si>
  <si>
    <t>　　中等职业教育</t>
  </si>
  <si>
    <t>　特殊教育</t>
  </si>
  <si>
    <t>　　特殊学校教育</t>
  </si>
  <si>
    <t>　进修及培训</t>
  </si>
  <si>
    <t>　　干部教育</t>
  </si>
  <si>
    <t>　其他教育支出</t>
  </si>
  <si>
    <t>　　其他教育支出</t>
  </si>
  <si>
    <t>206</t>
  </si>
  <si>
    <t>科学技术支出</t>
  </si>
  <si>
    <t>　科学技术管理事务</t>
  </si>
  <si>
    <t>　　其他科学技术管理事务支出</t>
  </si>
  <si>
    <t>　技术研究与开发</t>
  </si>
  <si>
    <t>　　机构运行</t>
  </si>
  <si>
    <t>　　科技成果转化与扩散</t>
  </si>
  <si>
    <t>　科技条件与服务</t>
  </si>
  <si>
    <t>　　其他科技条件与服务支出</t>
  </si>
  <si>
    <t>　科学技术普及</t>
  </si>
  <si>
    <t>　　科普活动</t>
  </si>
  <si>
    <t>　科技交流与合作</t>
  </si>
  <si>
    <t>　　其他科技交流与合作支出</t>
  </si>
  <si>
    <t>　其他科学技术支出</t>
  </si>
  <si>
    <t>　　其他科学技术支出</t>
  </si>
  <si>
    <t>207</t>
  </si>
  <si>
    <t>文化旅游体育与传媒支出</t>
  </si>
  <si>
    <t>　文化和旅游</t>
  </si>
  <si>
    <t>　　图书馆</t>
  </si>
  <si>
    <t>　　艺术表演场所</t>
  </si>
  <si>
    <t>　　文化活动</t>
  </si>
  <si>
    <t>　　群众文化</t>
  </si>
  <si>
    <t>　　文化和旅游市场管理</t>
  </si>
  <si>
    <t>　　其他文化和旅游支出</t>
  </si>
  <si>
    <t>　文物</t>
  </si>
  <si>
    <t>　　文物保护</t>
  </si>
  <si>
    <t>　体育</t>
  </si>
  <si>
    <t>　　群众体育</t>
  </si>
  <si>
    <t>　　其他体育支出</t>
  </si>
  <si>
    <t>　广播电视</t>
  </si>
  <si>
    <t>　　其他广播电视支出</t>
  </si>
  <si>
    <t>208</t>
  </si>
  <si>
    <t>社会保障和就业支出</t>
  </si>
  <si>
    <t>　人力资源和社会保障管理事务</t>
  </si>
  <si>
    <t>　　就业管理事务</t>
  </si>
  <si>
    <t>　　社会保险经办机构</t>
  </si>
  <si>
    <t>　　其他人力资源和社会保障管理事务支出</t>
  </si>
  <si>
    <t>　民政管理事务</t>
  </si>
  <si>
    <t>　　社会组织管理</t>
  </si>
  <si>
    <t>　　行政区划和地名管理</t>
  </si>
  <si>
    <t>　　其他民政管理事务支出</t>
  </si>
  <si>
    <t>　行政事业单位养老支出</t>
  </si>
  <si>
    <t>　　机关事业单位职业年金缴费支出</t>
  </si>
  <si>
    <t>　　对机关事业单位基本养老保险基金的补助</t>
  </si>
  <si>
    <t>　就业补助</t>
  </si>
  <si>
    <t>　　其他就业补助支出</t>
  </si>
  <si>
    <t>　抚恤</t>
  </si>
  <si>
    <t>　　死亡抚恤</t>
  </si>
  <si>
    <t>　　在乡复员、退伍军人生活补助</t>
  </si>
  <si>
    <t>　　义务兵优待</t>
  </si>
  <si>
    <t>　　褒扬纪念</t>
  </si>
  <si>
    <t>　　其他优抚支出</t>
  </si>
  <si>
    <t>　退役安置</t>
  </si>
  <si>
    <t>　　退役士兵安置</t>
  </si>
  <si>
    <t>　　军队移交政府离退休干部管理机构</t>
  </si>
  <si>
    <t>　　军队转业干部安置</t>
  </si>
  <si>
    <t>　　其他退役安置支出</t>
  </si>
  <si>
    <t>　社会福利</t>
  </si>
  <si>
    <t>　　儿童福利</t>
  </si>
  <si>
    <t>　　老年福利</t>
  </si>
  <si>
    <t>　　殡葬</t>
  </si>
  <si>
    <t>　　社会福利事业单位</t>
  </si>
  <si>
    <t>　残疾人事业</t>
  </si>
  <si>
    <t>　　残疾人康复</t>
  </si>
  <si>
    <t>　　残疾人生活和护理补贴</t>
  </si>
  <si>
    <t>　　其他残疾人事业支出</t>
  </si>
  <si>
    <t>　红十字事业</t>
  </si>
  <si>
    <t>　　其他红十字事业支出</t>
  </si>
  <si>
    <t>　临时救助</t>
  </si>
  <si>
    <t>　　临时救助支出</t>
  </si>
  <si>
    <t>　　流浪乞讨人员救助支出</t>
  </si>
  <si>
    <t>　特困人员救助供养</t>
  </si>
  <si>
    <t>　　农村特困人员救助供养支出</t>
  </si>
  <si>
    <t>　其他生活救助</t>
  </si>
  <si>
    <t>　　其他城市生活救助</t>
  </si>
  <si>
    <t>　财政对基本养老保险基金的补助</t>
  </si>
  <si>
    <t>　　财政对城乡居民基本养老保险基金的补助</t>
  </si>
  <si>
    <t>　财政对其他社会保险基金的补助</t>
  </si>
  <si>
    <t>　　财政对工伤保险基金的补助</t>
  </si>
  <si>
    <t>　退役军人管理事务</t>
  </si>
  <si>
    <t>　　拥军优属</t>
  </si>
  <si>
    <t>　　其他退役军人事务管理支出</t>
  </si>
  <si>
    <t>　财政代缴社会保险费支出</t>
  </si>
  <si>
    <t>　　财政代缴其他社会保险费支出</t>
  </si>
  <si>
    <t>　其他社会保障和就业支出</t>
  </si>
  <si>
    <t>　　其他社会保障和就业支出</t>
  </si>
  <si>
    <t>210</t>
  </si>
  <si>
    <t>卫生健康支出</t>
  </si>
  <si>
    <t>　卫生健康管理事务</t>
  </si>
  <si>
    <t>　　其他卫生健康管理事务支出</t>
  </si>
  <si>
    <t>　公立医院</t>
  </si>
  <si>
    <t>　　综合医院</t>
  </si>
  <si>
    <t>　　中医（民族）医院</t>
  </si>
  <si>
    <t>　　妇幼保健医院</t>
  </si>
  <si>
    <t>　　其他公立医院支出</t>
  </si>
  <si>
    <t>　基层医疗卫生机构</t>
  </si>
  <si>
    <t>　　城市社区卫生机构</t>
  </si>
  <si>
    <t>　　乡镇卫生院</t>
  </si>
  <si>
    <t>　　其他基层医疗卫生机构支出</t>
  </si>
  <si>
    <t>　公共卫生</t>
  </si>
  <si>
    <t>　　疾病预防控制机构</t>
  </si>
  <si>
    <t>　　卫生监督机构</t>
  </si>
  <si>
    <t>　　基本公共卫生服务</t>
  </si>
  <si>
    <t>　　重大公共卫生服务</t>
  </si>
  <si>
    <t>　　其他公共卫生支出</t>
  </si>
  <si>
    <t>　计划生育事务</t>
  </si>
  <si>
    <t xml:space="preserve">    计划生育服务</t>
  </si>
  <si>
    <t>　　其他计划生育事务支出</t>
  </si>
  <si>
    <t>　行政事业单位医疗</t>
  </si>
  <si>
    <t>　　其他行政事业单位医疗支出</t>
  </si>
  <si>
    <t>　财政对基本医疗保险基金的补助</t>
  </si>
  <si>
    <t>　　财政对城乡居民基本医疗保险基金的补助</t>
  </si>
  <si>
    <t>　医疗救助</t>
  </si>
  <si>
    <t>　　城乡医疗救助</t>
  </si>
  <si>
    <t>　其他卫生健康支出</t>
  </si>
  <si>
    <t>　　其他卫生健康支出</t>
  </si>
  <si>
    <t>211</t>
  </si>
  <si>
    <t>节能环保支出</t>
  </si>
  <si>
    <t>　环境保护管理事务</t>
  </si>
  <si>
    <t>　　生态环境保护宣传</t>
  </si>
  <si>
    <t>　　其他环境保护管理事务支出</t>
  </si>
  <si>
    <t>　环境监测与监察</t>
  </si>
  <si>
    <t>　　其他环境监测与监察支出</t>
  </si>
  <si>
    <t>　污染防治</t>
  </si>
  <si>
    <t>　　大气</t>
  </si>
  <si>
    <t xml:space="preserve">    土壤</t>
  </si>
  <si>
    <t>　自然生态保护</t>
  </si>
  <si>
    <t>　　生态保护</t>
  </si>
  <si>
    <t>　　草原生态修复治理</t>
  </si>
  <si>
    <t>　　其他自然生态保护支出</t>
  </si>
  <si>
    <t>　森林保护修复</t>
  </si>
  <si>
    <t>　　停伐补助</t>
  </si>
  <si>
    <t>　风沙荒漠治理</t>
  </si>
  <si>
    <t>　　其他风沙荒漠治理支出</t>
  </si>
  <si>
    <t>　能源节约利用</t>
  </si>
  <si>
    <t>　　能源节约利用</t>
  </si>
  <si>
    <t>　其他节能环保支出</t>
  </si>
  <si>
    <t>　　其他节能环保支出</t>
  </si>
  <si>
    <t>212</t>
  </si>
  <si>
    <t>城乡社区支出</t>
  </si>
  <si>
    <t>　城乡社区管理事务</t>
  </si>
  <si>
    <t>　　城管执法</t>
  </si>
  <si>
    <t>　　工程建设管理</t>
  </si>
  <si>
    <t>　　其他城乡社区管理事务支出</t>
  </si>
  <si>
    <t>　城乡社区规划与管理</t>
  </si>
  <si>
    <t>　　城乡社区规划与管理</t>
  </si>
  <si>
    <t>　城乡社区公共设施</t>
  </si>
  <si>
    <t>　　小城镇基础设施建设</t>
  </si>
  <si>
    <t>　　其他城乡社区公共设施支出</t>
  </si>
  <si>
    <t>　城乡社区环境卫生</t>
  </si>
  <si>
    <t>　　城乡社区环境卫生</t>
  </si>
  <si>
    <t>　其他城乡社区支出</t>
  </si>
  <si>
    <t>　　其他城乡社区支出</t>
  </si>
  <si>
    <t>213</t>
  </si>
  <si>
    <t>农林水支出</t>
  </si>
  <si>
    <t>　农业农村</t>
  </si>
  <si>
    <t>　　农垦运行</t>
  </si>
  <si>
    <t>　　科技转化与推广服务</t>
  </si>
  <si>
    <t>　　病虫害控制</t>
  </si>
  <si>
    <t>　　农产品质量安全</t>
  </si>
  <si>
    <t>　　防灾救灾</t>
  </si>
  <si>
    <t>　　稳定农民收入补贴</t>
  </si>
  <si>
    <t>　　农业生产发展</t>
  </si>
  <si>
    <t>　　农村社会事业</t>
  </si>
  <si>
    <t>　　农业生态资源保护</t>
  </si>
  <si>
    <t>　　乡村道路建设</t>
  </si>
  <si>
    <t>　　耕地建设与利用</t>
  </si>
  <si>
    <t>　　其他农业农村支出</t>
  </si>
  <si>
    <t>　林业和草原</t>
  </si>
  <si>
    <t>　　森林资源培育</t>
  </si>
  <si>
    <t>　　森林资源管理</t>
  </si>
  <si>
    <t>　　森林生态效益补偿</t>
  </si>
  <si>
    <t>　　动植物保护</t>
  </si>
  <si>
    <t>　　湿地保护</t>
  </si>
  <si>
    <t>　　林业草原防灾减灾</t>
  </si>
  <si>
    <t>　　其他林业和草原支出</t>
  </si>
  <si>
    <t>　水利</t>
  </si>
  <si>
    <t>　　水利工程运行与维护</t>
  </si>
  <si>
    <t>　　水利执法监督</t>
  </si>
  <si>
    <t>　　水土保持</t>
  </si>
  <si>
    <t>　　防汛</t>
  </si>
  <si>
    <t>　　大中型水库移民后期扶持专项支出</t>
  </si>
  <si>
    <t>　　水利安全监督</t>
  </si>
  <si>
    <t>　　农村供水</t>
  </si>
  <si>
    <t>　　其他水利支出</t>
  </si>
  <si>
    <t>　巩固脱贫攻坚成果衔接乡村振兴</t>
  </si>
  <si>
    <t>　　农村基础设施建设</t>
  </si>
  <si>
    <t>　　生产发展</t>
  </si>
  <si>
    <t>　　贷款奖补和贴息</t>
  </si>
  <si>
    <t>　　其他巩固脱贫攻坚成果衔接乡村振兴支出</t>
  </si>
  <si>
    <t>　农村综合改革</t>
  </si>
  <si>
    <t>　　对村级公益事业建设的补助</t>
  </si>
  <si>
    <t>　　对村民委员会和村党支部的补助</t>
  </si>
  <si>
    <t>　　对村集体经济组织的补助</t>
  </si>
  <si>
    <t>　　其他农村综合改革支出</t>
  </si>
  <si>
    <t>　普惠金融发展支出</t>
  </si>
  <si>
    <t>　　农业保险保费补贴</t>
  </si>
  <si>
    <t>　　创业担保贷款贴息及奖补</t>
  </si>
  <si>
    <t>　　其他普惠金融发展支出</t>
  </si>
  <si>
    <t>　目标价格补贴</t>
  </si>
  <si>
    <t>　　棉花目标价格补贴</t>
  </si>
  <si>
    <t>　　其他目标价格补贴</t>
  </si>
  <si>
    <t>　其他农林水支出</t>
  </si>
  <si>
    <t>　　其他农林水支出</t>
  </si>
  <si>
    <t>214</t>
  </si>
  <si>
    <t>交通运输支出</t>
  </si>
  <si>
    <t>　公路水路运输</t>
  </si>
  <si>
    <t>　　公路建设</t>
  </si>
  <si>
    <t>　　公路养护</t>
  </si>
  <si>
    <t>　　公路运输管理</t>
  </si>
  <si>
    <t>　　其他公路水路运输支出</t>
  </si>
  <si>
    <t>　铁路运输</t>
  </si>
  <si>
    <t>　　其他铁路运输支出</t>
  </si>
  <si>
    <t>　其他交通运输支出</t>
  </si>
  <si>
    <t>　　公共交通运营补助</t>
  </si>
  <si>
    <t>　　其他交通运输支出</t>
  </si>
  <si>
    <t>215</t>
  </si>
  <si>
    <t>资源勘探工业信息等支出</t>
  </si>
  <si>
    <t>　支持中小企业发展和管理支出</t>
  </si>
  <si>
    <t>　　中小企业发展专项</t>
  </si>
  <si>
    <t>　　其他支持中小企业发展和管理支出</t>
  </si>
  <si>
    <t>216</t>
  </si>
  <si>
    <t>商业服务业等支出</t>
  </si>
  <si>
    <t>　商业流通事务</t>
  </si>
  <si>
    <t>　　其他商业流通事务支出</t>
  </si>
  <si>
    <t>217</t>
  </si>
  <si>
    <t>金融支出</t>
  </si>
  <si>
    <t>　金融部门监管支出</t>
  </si>
  <si>
    <t>　　金融部门其他监管支出</t>
  </si>
  <si>
    <t>219</t>
  </si>
  <si>
    <t>　其他支出</t>
  </si>
  <si>
    <t>　　其他支出</t>
  </si>
  <si>
    <t>220</t>
  </si>
  <si>
    <t>自然资源海洋气象等支出</t>
  </si>
  <si>
    <t>　自然资源事务</t>
  </si>
  <si>
    <t>　　自然资源规划及管理</t>
  </si>
  <si>
    <t>　　自然资源利用与保护</t>
  </si>
  <si>
    <t>　　自然资源行业业务管理</t>
  </si>
  <si>
    <t>　　自然资源调查与确权登记</t>
  </si>
  <si>
    <t>　　地质勘查与矿产资源管理</t>
  </si>
  <si>
    <t>　气象事务</t>
  </si>
  <si>
    <t>　　气象事业机构</t>
  </si>
  <si>
    <t>　　气象服务</t>
  </si>
  <si>
    <t>221</t>
  </si>
  <si>
    <t>住房保障支出</t>
  </si>
  <si>
    <t>　保障性安居工程支出</t>
  </si>
  <si>
    <t>　　棚户区改造</t>
  </si>
  <si>
    <t>　　农村危房改造</t>
  </si>
  <si>
    <t>　　老旧小区改造</t>
  </si>
  <si>
    <t>　　保障性租赁住房</t>
  </si>
  <si>
    <t>　　其他保障性安居工程支出</t>
  </si>
  <si>
    <t>　城乡社区住宅</t>
  </si>
  <si>
    <t>　　其他城乡社区住宅支出</t>
  </si>
  <si>
    <t>222</t>
  </si>
  <si>
    <t>粮油物资储备支出</t>
  </si>
  <si>
    <t>　粮油物资事务</t>
  </si>
  <si>
    <t>　　其他粮油物资事务支出</t>
  </si>
  <si>
    <t>224</t>
  </si>
  <si>
    <t>灾害防治及应急管理支出</t>
  </si>
  <si>
    <t>　应急管理事务</t>
  </si>
  <si>
    <t>　　安全监管</t>
  </si>
  <si>
    <t>　　应急管理</t>
  </si>
  <si>
    <t>　　其他应急管理支出</t>
  </si>
  <si>
    <t>　消防救援事务</t>
  </si>
  <si>
    <t>　　其他消防救援事务支出</t>
  </si>
  <si>
    <t>　地震事务</t>
  </si>
  <si>
    <t>　自然灾害防治</t>
  </si>
  <si>
    <t>　　地质灾害防治</t>
  </si>
  <si>
    <t>　自然灾害救灾及恢复重建支出</t>
  </si>
  <si>
    <t>　　自然灾害救灾补助</t>
  </si>
  <si>
    <t>　其他灾害防治及应急管理支出</t>
  </si>
  <si>
    <t>　　其他灾害防治及应急管理支出</t>
  </si>
  <si>
    <t>227</t>
  </si>
  <si>
    <t>229</t>
  </si>
  <si>
    <t>其他支出</t>
  </si>
  <si>
    <t>　年初预留</t>
  </si>
  <si>
    <t>　　年初预留</t>
  </si>
  <si>
    <t>232</t>
  </si>
  <si>
    <t>债务付息支出</t>
  </si>
  <si>
    <t>　地方政府一般债务付息支出</t>
  </si>
  <si>
    <t>　　地方政府一般债券付息支出</t>
  </si>
  <si>
    <t>　　地方政府向外国政府借款付息支出</t>
  </si>
  <si>
    <t>　　地方政府向国际组织借款付息支出</t>
  </si>
  <si>
    <t>233</t>
  </si>
  <si>
    <t>债务发行费用支出</t>
  </si>
  <si>
    <t>　地方政府一般债务发行费用支出</t>
  </si>
  <si>
    <t>　　地方政府一般债务发行费用支出</t>
  </si>
  <si>
    <t>2024年一般公共预算支出表（政府经济分类）</t>
  </si>
  <si>
    <t>501
机关
工资福利
支出</t>
  </si>
  <si>
    <t>502
机关
商品服务
支出</t>
  </si>
  <si>
    <t>503
机关
资本性
支出(一)</t>
  </si>
  <si>
    <t>504
机关
资本性
支出(二)</t>
  </si>
  <si>
    <r>
      <rPr>
        <sz val="10"/>
        <color theme="1"/>
        <rFont val="黑体"/>
        <charset val="134"/>
      </rPr>
      <t xml:space="preserve">505
</t>
    </r>
    <r>
      <rPr>
        <sz val="9"/>
        <color theme="1"/>
        <rFont val="黑体"/>
        <charset val="134"/>
      </rPr>
      <t xml:space="preserve">对事业
</t>
    </r>
    <r>
      <rPr>
        <sz val="10"/>
        <color theme="1"/>
        <rFont val="黑体"/>
        <charset val="134"/>
      </rPr>
      <t>经常性
补助</t>
    </r>
  </si>
  <si>
    <r>
      <rPr>
        <sz val="10"/>
        <color theme="1"/>
        <rFont val="黑体"/>
        <charset val="134"/>
      </rPr>
      <t xml:space="preserve">506
</t>
    </r>
    <r>
      <rPr>
        <sz val="9"/>
        <color theme="1"/>
        <rFont val="黑体"/>
        <charset val="134"/>
      </rPr>
      <t xml:space="preserve">对事业
</t>
    </r>
    <r>
      <rPr>
        <sz val="10"/>
        <color theme="1"/>
        <rFont val="黑体"/>
        <charset val="134"/>
      </rPr>
      <t>资本性
补助</t>
    </r>
  </si>
  <si>
    <r>
      <rPr>
        <sz val="10"/>
        <color theme="1"/>
        <rFont val="黑体"/>
        <charset val="134"/>
      </rPr>
      <t xml:space="preserve">507
</t>
    </r>
    <r>
      <rPr>
        <sz val="9"/>
        <color theme="1"/>
        <rFont val="黑体"/>
        <charset val="134"/>
      </rPr>
      <t xml:space="preserve">对企业
</t>
    </r>
    <r>
      <rPr>
        <sz val="10"/>
        <color theme="1"/>
        <rFont val="黑体"/>
        <charset val="134"/>
      </rPr>
      <t>补助</t>
    </r>
  </si>
  <si>
    <r>
      <rPr>
        <sz val="10"/>
        <color theme="1"/>
        <rFont val="黑体"/>
        <charset val="134"/>
      </rPr>
      <t xml:space="preserve">509
</t>
    </r>
    <r>
      <rPr>
        <sz val="9"/>
        <color theme="1"/>
        <rFont val="黑体"/>
        <charset val="134"/>
      </rPr>
      <t xml:space="preserve">对个人
</t>
    </r>
    <r>
      <rPr>
        <sz val="10"/>
        <color theme="1"/>
        <rFont val="黑体"/>
        <charset val="134"/>
      </rPr>
      <t>和家庭
补助</t>
    </r>
  </si>
  <si>
    <r>
      <rPr>
        <sz val="10"/>
        <color theme="1"/>
        <rFont val="黑体"/>
        <charset val="134"/>
      </rPr>
      <t xml:space="preserve">510
</t>
    </r>
    <r>
      <rPr>
        <sz val="9"/>
        <color theme="1"/>
        <rFont val="黑体"/>
        <charset val="134"/>
      </rPr>
      <t xml:space="preserve">对社会
</t>
    </r>
    <r>
      <rPr>
        <sz val="10"/>
        <color theme="1"/>
        <rFont val="黑体"/>
        <charset val="134"/>
      </rPr>
      <t>保障基金
补助</t>
    </r>
  </si>
  <si>
    <t>511
债务利息
及费用
支出</t>
  </si>
  <si>
    <r>
      <rPr>
        <sz val="10"/>
        <color theme="1"/>
        <rFont val="黑体"/>
        <charset val="134"/>
      </rPr>
      <t xml:space="preserve">513
</t>
    </r>
    <r>
      <rPr>
        <sz val="9"/>
        <color theme="1"/>
        <rFont val="黑体"/>
        <charset val="134"/>
      </rPr>
      <t xml:space="preserve">转移性
</t>
    </r>
    <r>
      <rPr>
        <sz val="10"/>
        <color theme="1"/>
        <rFont val="黑体"/>
        <charset val="134"/>
      </rPr>
      <t>支出</t>
    </r>
  </si>
  <si>
    <t>599
其他
支出</t>
  </si>
  <si>
    <t>综合股合计</t>
  </si>
  <si>
    <t>　市自然资源和规划局地灾项目</t>
  </si>
  <si>
    <t>　市自然资源和规划局林业项目</t>
  </si>
  <si>
    <t>2024年一般公共预算支出表（部门经济分类）</t>
  </si>
  <si>
    <t>单位名称(简称）</t>
  </si>
  <si>
    <t>301
工资福利
支出</t>
  </si>
  <si>
    <t>302
商品和
服务支出</t>
  </si>
  <si>
    <t>303
对个人
和家庭的
补助</t>
  </si>
  <si>
    <t>307
债务
利息及
费用支出</t>
  </si>
  <si>
    <t>309
资本性
支出
(基建)</t>
  </si>
  <si>
    <t>310
资本性
支出</t>
  </si>
  <si>
    <t>312
对企业
补助</t>
  </si>
  <si>
    <t>313
对社会
保障基金
补助</t>
  </si>
  <si>
    <t>399
其他支出</t>
  </si>
  <si>
    <t>市还地桥中心卫生院</t>
  </si>
  <si>
    <t>2024年一般公共预算“五公”经费表</t>
  </si>
  <si>
    <t>2023年预算数</t>
  </si>
  <si>
    <t>其中：“三公”小计</t>
  </si>
  <si>
    <t>一、因公出国（境）费用</t>
  </si>
  <si>
    <t>二、公务用车购置和运行维护费</t>
  </si>
  <si>
    <t>1.公务用车购置</t>
  </si>
  <si>
    <t>2.公务用车运行维护费</t>
  </si>
  <si>
    <t>三、公务接待费</t>
  </si>
  <si>
    <t>四、会议费</t>
  </si>
  <si>
    <t>五、培训费</t>
  </si>
  <si>
    <t>2024部门预算单位基本信息表（编制与人员）</t>
  </si>
  <si>
    <t>单位：个、人</t>
  </si>
  <si>
    <t>编码</t>
  </si>
  <si>
    <t>单位编制</t>
  </si>
  <si>
    <t>实有人员</t>
  </si>
  <si>
    <t>其他人员</t>
  </si>
  <si>
    <t>行政
编制</t>
  </si>
  <si>
    <t>事业
编制</t>
  </si>
  <si>
    <t>工勤
编制</t>
  </si>
  <si>
    <t>在职</t>
  </si>
  <si>
    <t>离休</t>
  </si>
  <si>
    <t>退休</t>
  </si>
  <si>
    <t>遗属</t>
  </si>
  <si>
    <t>其他</t>
  </si>
  <si>
    <t>行政</t>
  </si>
  <si>
    <t>参公</t>
  </si>
  <si>
    <t>公益
一类</t>
  </si>
  <si>
    <t>公益
二类</t>
  </si>
  <si>
    <t>自收
自支</t>
  </si>
  <si>
    <t>其他
事业</t>
  </si>
  <si>
    <t>工勤</t>
  </si>
  <si>
    <t>辅助列</t>
  </si>
  <si>
    <t>计项</t>
  </si>
  <si>
    <t>含资产收益征收中心在职10人，</t>
  </si>
  <si>
    <t>差额</t>
  </si>
  <si>
    <t>老一般</t>
  </si>
  <si>
    <t>卫生-其他</t>
  </si>
  <si>
    <t>卫生-市直-差额</t>
  </si>
  <si>
    <t>卫生-市直-一般</t>
  </si>
  <si>
    <t>205007</t>
  </si>
  <si>
    <t>市总医院</t>
  </si>
  <si>
    <t>卫生-乡镇-差额</t>
  </si>
  <si>
    <t>市金山店卫生院</t>
  </si>
  <si>
    <t>市陈贵中心卫生院</t>
  </si>
  <si>
    <t>市茗山卫生院</t>
  </si>
  <si>
    <t>市灵乡卫生院</t>
  </si>
  <si>
    <t>市刘仁八卫生院</t>
  </si>
  <si>
    <t>市殷祖中心卫生院</t>
  </si>
  <si>
    <t>市金湖卫生院</t>
  </si>
  <si>
    <t>市大箕铺卫生院</t>
  </si>
  <si>
    <t>市东风农场卫生院</t>
  </si>
  <si>
    <t>自收自支</t>
  </si>
  <si>
    <t>一般单位</t>
  </si>
  <si>
    <t>一般</t>
  </si>
  <si>
    <t>教育-其他</t>
  </si>
  <si>
    <t>教育-其他-老一般</t>
  </si>
  <si>
    <t>教育-学前</t>
  </si>
  <si>
    <t>教育-中专</t>
  </si>
  <si>
    <t>教育-市直-义务</t>
  </si>
  <si>
    <t>教育-特教</t>
  </si>
  <si>
    <t>教育-高中</t>
  </si>
  <si>
    <t>教育-乡镇-义务</t>
  </si>
  <si>
    <t>各乡镇场街办高新区合计</t>
  </si>
  <si>
    <t>806</t>
  </si>
  <si>
    <t>乡镇行政</t>
  </si>
  <si>
    <t>乡镇事业-财政</t>
  </si>
  <si>
    <t>乡镇事业</t>
  </si>
  <si>
    <t>807</t>
  </si>
  <si>
    <t>808</t>
  </si>
  <si>
    <t>保安镇统计分局</t>
  </si>
  <si>
    <t>809</t>
  </si>
  <si>
    <t>810</t>
  </si>
  <si>
    <t>陈贵镇统计分局</t>
  </si>
  <si>
    <t>811</t>
  </si>
  <si>
    <t>812</t>
  </si>
  <si>
    <t>灵乡镇统计分局</t>
  </si>
  <si>
    <t>813</t>
  </si>
  <si>
    <t>814</t>
  </si>
  <si>
    <t>815</t>
  </si>
  <si>
    <t>816</t>
  </si>
  <si>
    <t>817</t>
  </si>
  <si>
    <t>818</t>
  </si>
  <si>
    <t>819</t>
  </si>
  <si>
    <t>820</t>
  </si>
  <si>
    <t>821</t>
  </si>
</sst>
</file>

<file path=xl/styles.xml><?xml version="1.0" encoding="utf-8"?>
<styleSheet xmlns="http://schemas.openxmlformats.org/spreadsheetml/2006/main" xmlns:mc="http://schemas.openxmlformats.org/markup-compatibility/2006" xmlns:xr9="http://schemas.microsoft.com/office/spreadsheetml/2016/revision9" mc:Ignorable="xr9">
  <numFmts count="23">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 #,##0.00;* \-#,##0.00;* &quot;-&quot;??;@"/>
    <numFmt numFmtId="178" formatCode="#,##0.0_ "/>
    <numFmt numFmtId="179" formatCode="0.0"/>
    <numFmt numFmtId="180" formatCode="0.0_ "/>
    <numFmt numFmtId="181" formatCode="#,##0_ "/>
    <numFmt numFmtId="182" formatCode="#,##0.00;[Red]#,##0.0"/>
    <numFmt numFmtId="183" formatCode="#,##0;[Red]#,##0"/>
    <numFmt numFmtId="184" formatCode="#,##0.0;[Red]#,##0.0"/>
    <numFmt numFmtId="185" formatCode="#,##0.00;[Red]#,##0.00"/>
    <numFmt numFmtId="186" formatCode="#,##0.0;[Red]#,##0"/>
    <numFmt numFmtId="187" formatCode="0.000000_ "/>
    <numFmt numFmtId="188" formatCode="_ * #,##0_ ;_ * \-#,##0_ ;_ * &quot;-&quot;??_ ;_ @_ "/>
    <numFmt numFmtId="189" formatCode="_(* #,##0_);_(* \(#,##0\);_(* &quot;-&quot;??_);_(@_)"/>
    <numFmt numFmtId="190" formatCode="_ * #,##0.0_ ;_ * \-#,##0.0_ ;_ * &quot;-&quot;?_ ;_ @_ "/>
    <numFmt numFmtId="191" formatCode="_ * #,##0_ ;_ * \-#,##0_ ;_ * &quot;-&quot;?_ ;_ @_ "/>
    <numFmt numFmtId="192" formatCode="_(* #,##0.0_);_(* \(#,##0.0\);_(* &quot;-&quot;??.0_);_(@_)"/>
    <numFmt numFmtId="193" formatCode="#,##0_);[Red]\(#,##0\)"/>
    <numFmt numFmtId="194" formatCode="_ * #,##0.0_ ;_ * \-#,##0.0_ ;_ * &quot;-&quot;??_ ;_ @_ "/>
  </numFmts>
  <fonts count="93">
    <font>
      <sz val="11"/>
      <color theme="1"/>
      <name val="等线"/>
      <charset val="134"/>
      <scheme val="minor"/>
    </font>
    <font>
      <sz val="14"/>
      <color theme="1"/>
      <name val="黑体"/>
      <charset val="134"/>
    </font>
    <font>
      <sz val="20"/>
      <color theme="1"/>
      <name val="方正小标宋_GBK"/>
      <charset val="134"/>
    </font>
    <font>
      <sz val="13"/>
      <color theme="1"/>
      <name val="楷体_GB2312"/>
      <charset val="134"/>
    </font>
    <font>
      <sz val="11"/>
      <color theme="1"/>
      <name val="黑体"/>
      <charset val="134"/>
    </font>
    <font>
      <b/>
      <sz val="11"/>
      <color theme="1"/>
      <name val="黑体"/>
      <charset val="134"/>
    </font>
    <font>
      <b/>
      <sz val="11"/>
      <color theme="1"/>
      <name val="等线"/>
      <charset val="134"/>
      <scheme val="minor"/>
    </font>
    <font>
      <b/>
      <i/>
      <sz val="11"/>
      <color theme="1"/>
      <name val="等线"/>
      <charset val="134"/>
      <scheme val="minor"/>
    </font>
    <font>
      <b/>
      <sz val="20"/>
      <color theme="1"/>
      <name val="方正小标宋_GBK"/>
      <charset val="134"/>
    </font>
    <font>
      <b/>
      <sz val="11"/>
      <color theme="1"/>
      <name val="Arial Narrow"/>
      <charset val="134"/>
    </font>
    <font>
      <b/>
      <sz val="11"/>
      <color theme="1"/>
      <name val="宋体"/>
      <charset val="134"/>
    </font>
    <font>
      <sz val="11"/>
      <color theme="1"/>
      <name val="Arial Narrow"/>
      <charset val="134"/>
    </font>
    <font>
      <sz val="11"/>
      <color theme="1"/>
      <name val="宋体"/>
      <charset val="134"/>
    </font>
    <font>
      <sz val="11"/>
      <color indexed="8"/>
      <name val="Calibri"/>
      <charset val="0"/>
    </font>
    <font>
      <b/>
      <sz val="11"/>
      <color indexed="8"/>
      <name val="Calibri"/>
      <charset val="0"/>
    </font>
    <font>
      <sz val="11"/>
      <color rgb="FF000000"/>
      <name val="宋体"/>
      <charset val="0"/>
    </font>
    <font>
      <b/>
      <sz val="10"/>
      <color theme="1"/>
      <name val="宋体"/>
      <charset val="134"/>
    </font>
    <font>
      <b/>
      <i/>
      <sz val="11"/>
      <color theme="1"/>
      <name val="宋体"/>
      <charset val="134"/>
    </font>
    <font>
      <b/>
      <i/>
      <sz val="11"/>
      <color theme="1"/>
      <name val="Arial Narrow"/>
      <charset val="134"/>
    </font>
    <font>
      <b/>
      <i/>
      <sz val="10"/>
      <color theme="1"/>
      <name val="宋体"/>
      <charset val="134"/>
    </font>
    <font>
      <sz val="10"/>
      <color theme="1"/>
      <name val="宋体"/>
      <charset val="134"/>
    </font>
    <font>
      <sz val="10.5"/>
      <color theme="1"/>
      <name val="黑体"/>
      <charset val="134"/>
    </font>
    <font>
      <b/>
      <sz val="11"/>
      <color rgb="FF000000"/>
      <name val="宋体"/>
      <charset val="134"/>
    </font>
    <font>
      <sz val="11"/>
      <color indexed="8"/>
      <name val="Arial Narrow"/>
      <charset val="134"/>
    </font>
    <font>
      <sz val="11"/>
      <color indexed="8"/>
      <name val="宋体"/>
      <charset val="134"/>
    </font>
    <font>
      <b/>
      <sz val="11"/>
      <color indexed="8"/>
      <name val="Arial Narrow"/>
      <charset val="134"/>
    </font>
    <font>
      <sz val="10"/>
      <color theme="1"/>
      <name val="黑体"/>
      <charset val="134"/>
    </font>
    <font>
      <sz val="11"/>
      <color indexed="8"/>
      <name val="Arial Narrow"/>
      <charset val="0"/>
    </font>
    <font>
      <sz val="11"/>
      <color indexed="8"/>
      <name val="黑体"/>
      <charset val="134"/>
    </font>
    <font>
      <b/>
      <sz val="11"/>
      <name val="Arial Narrow"/>
      <charset val="134"/>
    </font>
    <font>
      <b/>
      <sz val="11"/>
      <name val="宋体"/>
      <charset val="134"/>
    </font>
    <font>
      <b/>
      <sz val="11"/>
      <color indexed="8"/>
      <name val="Arial Narrow"/>
      <charset val="0"/>
    </font>
    <font>
      <sz val="11"/>
      <color indexed="8"/>
      <name val="宋体"/>
      <charset val="0"/>
    </font>
    <font>
      <sz val="11"/>
      <color theme="1"/>
      <name val="方正小标宋_GBK"/>
      <charset val="134"/>
    </font>
    <font>
      <sz val="20"/>
      <color theme="1"/>
      <name val="方正小标宋简体"/>
      <charset val="134"/>
    </font>
    <font>
      <b/>
      <sz val="10"/>
      <color indexed="8"/>
      <name val="宋体"/>
      <charset val="134"/>
    </font>
    <font>
      <sz val="10"/>
      <color indexed="8"/>
      <name val="宋体"/>
      <charset val="134"/>
    </font>
    <font>
      <sz val="10"/>
      <color indexed="8"/>
      <name val="Calibri"/>
      <charset val="0"/>
    </font>
    <font>
      <sz val="10.5"/>
      <color indexed="8"/>
      <name val="Arial Narrow"/>
      <charset val="134"/>
    </font>
    <font>
      <sz val="10.5"/>
      <color indexed="8"/>
      <name val="黑体"/>
      <charset val="134"/>
    </font>
    <font>
      <b/>
      <sz val="11"/>
      <color indexed="8"/>
      <name val="宋体"/>
      <charset val="134"/>
    </font>
    <font>
      <sz val="11"/>
      <color rgb="FF000000"/>
      <name val="宋体"/>
      <charset val="134"/>
    </font>
    <font>
      <b/>
      <i/>
      <sz val="11"/>
      <color indexed="8"/>
      <name val="宋体"/>
      <charset val="134"/>
    </font>
    <font>
      <sz val="10"/>
      <name val="Arial"/>
      <charset val="0"/>
    </font>
    <font>
      <sz val="10"/>
      <name val="宋体"/>
      <charset val="134"/>
    </font>
    <font>
      <sz val="11"/>
      <color indexed="8"/>
      <name val="Calibri"/>
      <charset val="134"/>
    </font>
    <font>
      <sz val="10"/>
      <color indexed="8"/>
      <name val="黑体"/>
      <charset val="134"/>
    </font>
    <font>
      <sz val="10.5"/>
      <color indexed="8"/>
      <name val="Arial Narrow"/>
      <charset val="0"/>
    </font>
    <font>
      <b/>
      <sz val="10.5"/>
      <color indexed="8"/>
      <name val="Arial Narrow"/>
      <charset val="0"/>
    </font>
    <font>
      <sz val="11"/>
      <name val="等线"/>
      <charset val="134"/>
      <scheme val="minor"/>
    </font>
    <font>
      <sz val="11"/>
      <name val="Arial Narrow"/>
      <charset val="0"/>
    </font>
    <font>
      <sz val="10"/>
      <color theme="1"/>
      <name val="等线"/>
      <charset val="134"/>
      <scheme val="minor"/>
    </font>
    <font>
      <sz val="11"/>
      <name val="Arial Narrow"/>
      <charset val="134"/>
    </font>
    <font>
      <sz val="10"/>
      <name val="Arial Narrow"/>
      <charset val="134"/>
    </font>
    <font>
      <sz val="11"/>
      <name val="黑体"/>
      <charset val="134"/>
    </font>
    <font>
      <sz val="11"/>
      <name val="宋体"/>
      <charset val="134"/>
    </font>
    <font>
      <sz val="16"/>
      <color theme="1"/>
      <name val="仿宋_GB2312"/>
      <charset val="134"/>
    </font>
    <font>
      <sz val="11"/>
      <color rgb="FFFF0000"/>
      <name val="等线"/>
      <charset val="134"/>
      <scheme val="minor"/>
    </font>
    <font>
      <sz val="14"/>
      <color rgb="FFFF0000"/>
      <name val="黑体"/>
      <charset val="134"/>
    </font>
    <font>
      <sz val="20"/>
      <color rgb="FFFF0000"/>
      <name val="方正小标宋_GBK"/>
      <charset val="134"/>
    </font>
    <font>
      <sz val="13"/>
      <color rgb="FFFF0000"/>
      <name val="楷体_GB2312"/>
      <charset val="134"/>
    </font>
    <font>
      <sz val="14"/>
      <name val="黑体"/>
      <charset val="134"/>
    </font>
    <font>
      <sz val="20"/>
      <name val="方正小标宋_GBK"/>
      <charset val="134"/>
    </font>
    <font>
      <sz val="13"/>
      <name val="楷体_GB2312"/>
      <charset val="134"/>
    </font>
    <font>
      <sz val="11.5"/>
      <name val="Arial Narrow"/>
      <charset val="134"/>
    </font>
    <font>
      <b/>
      <sz val="11.5"/>
      <color theme="1"/>
      <name val="Arial Narrow"/>
      <charset val="134"/>
    </font>
    <font>
      <sz val="11.5"/>
      <color theme="1"/>
      <name val="Arial Narrow"/>
      <charset val="134"/>
    </font>
    <font>
      <b/>
      <sz val="11.5"/>
      <name val="Arial Narrow"/>
      <charset val="134"/>
    </font>
    <font>
      <b/>
      <sz val="12.5"/>
      <color theme="1"/>
      <name val="宋体"/>
      <charset val="134"/>
    </font>
    <font>
      <sz val="12.5"/>
      <color theme="1"/>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0"/>
      <name val="Arial"/>
      <charset val="134"/>
    </font>
    <font>
      <sz val="12"/>
      <name val="宋体"/>
      <charset val="134"/>
    </font>
    <font>
      <sz val="9"/>
      <color theme="1"/>
      <name val="黑体"/>
      <charset val="134"/>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176"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0"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0" fillId="2" borderId="14" applyNumberFormat="0" applyFont="0" applyAlignment="0" applyProtection="0">
      <alignment vertical="center"/>
    </xf>
    <xf numFmtId="0" fontId="7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15" applyNumberFormat="0" applyFill="0" applyAlignment="0" applyProtection="0">
      <alignment vertical="center"/>
    </xf>
    <xf numFmtId="0" fontId="76" fillId="0" borderId="15" applyNumberFormat="0" applyFill="0" applyAlignment="0" applyProtection="0">
      <alignment vertical="center"/>
    </xf>
    <xf numFmtId="0" fontId="77" fillId="0" borderId="16" applyNumberFormat="0" applyFill="0" applyAlignment="0" applyProtection="0">
      <alignment vertical="center"/>
    </xf>
    <xf numFmtId="0" fontId="77" fillId="0" borderId="0" applyNumberFormat="0" applyFill="0" applyBorder="0" applyAlignment="0" applyProtection="0">
      <alignment vertical="center"/>
    </xf>
    <xf numFmtId="0" fontId="78" fillId="3" borderId="17" applyNumberFormat="0" applyAlignment="0" applyProtection="0">
      <alignment vertical="center"/>
    </xf>
    <xf numFmtId="0" fontId="79" fillId="4" borderId="18" applyNumberFormat="0" applyAlignment="0" applyProtection="0">
      <alignment vertical="center"/>
    </xf>
    <xf numFmtId="0" fontId="80" fillId="4" borderId="17" applyNumberFormat="0" applyAlignment="0" applyProtection="0">
      <alignment vertical="center"/>
    </xf>
    <xf numFmtId="0" fontId="81" fillId="5" borderId="19" applyNumberFormat="0" applyAlignment="0" applyProtection="0">
      <alignment vertical="center"/>
    </xf>
    <xf numFmtId="0" fontId="82" fillId="0" borderId="20" applyNumberFormat="0" applyFill="0" applyAlignment="0" applyProtection="0">
      <alignment vertical="center"/>
    </xf>
    <xf numFmtId="0" fontId="83" fillId="0" borderId="21" applyNumberFormat="0" applyFill="0" applyAlignment="0" applyProtection="0">
      <alignment vertical="center"/>
    </xf>
    <xf numFmtId="0" fontId="84" fillId="6" borderId="0" applyNumberFormat="0" applyBorder="0" applyAlignment="0" applyProtection="0">
      <alignment vertical="center"/>
    </xf>
    <xf numFmtId="0" fontId="85" fillId="7" borderId="0" applyNumberFormat="0" applyBorder="0" applyAlignment="0" applyProtection="0">
      <alignment vertical="center"/>
    </xf>
    <xf numFmtId="0" fontId="86" fillId="8" borderId="0" applyNumberFormat="0" applyBorder="0" applyAlignment="0" applyProtection="0">
      <alignment vertical="center"/>
    </xf>
    <xf numFmtId="0" fontId="87" fillId="9" borderId="0" applyNumberFormat="0" applyBorder="0" applyAlignment="0" applyProtection="0">
      <alignment vertical="center"/>
    </xf>
    <xf numFmtId="0" fontId="88" fillId="10" borderId="0" applyNumberFormat="0" applyBorder="0" applyAlignment="0" applyProtection="0">
      <alignment vertical="center"/>
    </xf>
    <xf numFmtId="0" fontId="88" fillId="11" borderId="0" applyNumberFormat="0" applyBorder="0" applyAlignment="0" applyProtection="0">
      <alignment vertical="center"/>
    </xf>
    <xf numFmtId="0" fontId="87" fillId="12" borderId="0" applyNumberFormat="0" applyBorder="0" applyAlignment="0" applyProtection="0">
      <alignment vertical="center"/>
    </xf>
    <xf numFmtId="0" fontId="87" fillId="13" borderId="0" applyNumberFormat="0" applyBorder="0" applyAlignment="0" applyProtection="0">
      <alignment vertical="center"/>
    </xf>
    <xf numFmtId="0" fontId="88" fillId="14" borderId="0" applyNumberFormat="0" applyBorder="0" applyAlignment="0" applyProtection="0">
      <alignment vertical="center"/>
    </xf>
    <xf numFmtId="0" fontId="88" fillId="15" borderId="0" applyNumberFormat="0" applyBorder="0" applyAlignment="0" applyProtection="0">
      <alignment vertical="center"/>
    </xf>
    <xf numFmtId="0" fontId="87" fillId="16" borderId="0" applyNumberFormat="0" applyBorder="0" applyAlignment="0" applyProtection="0">
      <alignment vertical="center"/>
    </xf>
    <xf numFmtId="0" fontId="87" fillId="17" borderId="0" applyNumberFormat="0" applyBorder="0" applyAlignment="0" applyProtection="0">
      <alignment vertical="center"/>
    </xf>
    <xf numFmtId="0" fontId="88" fillId="18" borderId="0" applyNumberFormat="0" applyBorder="0" applyAlignment="0" applyProtection="0">
      <alignment vertical="center"/>
    </xf>
    <xf numFmtId="0" fontId="88" fillId="19" borderId="0" applyNumberFormat="0" applyBorder="0" applyAlignment="0" applyProtection="0">
      <alignment vertical="center"/>
    </xf>
    <xf numFmtId="0" fontId="87" fillId="20" borderId="0" applyNumberFormat="0" applyBorder="0" applyAlignment="0" applyProtection="0">
      <alignment vertical="center"/>
    </xf>
    <xf numFmtId="0" fontId="87" fillId="21" borderId="0" applyNumberFormat="0" applyBorder="0" applyAlignment="0" applyProtection="0">
      <alignment vertical="center"/>
    </xf>
    <xf numFmtId="0" fontId="88" fillId="22" borderId="0" applyNumberFormat="0" applyBorder="0" applyAlignment="0" applyProtection="0">
      <alignment vertical="center"/>
    </xf>
    <xf numFmtId="0" fontId="88" fillId="23" borderId="0" applyNumberFormat="0" applyBorder="0" applyAlignment="0" applyProtection="0">
      <alignment vertical="center"/>
    </xf>
    <xf numFmtId="0" fontId="87" fillId="24" borderId="0" applyNumberFormat="0" applyBorder="0" applyAlignment="0" applyProtection="0">
      <alignment vertical="center"/>
    </xf>
    <xf numFmtId="0" fontId="87" fillId="25" borderId="0" applyNumberFormat="0" applyBorder="0" applyAlignment="0" applyProtection="0">
      <alignment vertical="center"/>
    </xf>
    <xf numFmtId="0" fontId="88" fillId="26" borderId="0" applyNumberFormat="0" applyBorder="0" applyAlignment="0" applyProtection="0">
      <alignment vertical="center"/>
    </xf>
    <xf numFmtId="0" fontId="88" fillId="27" borderId="0" applyNumberFormat="0" applyBorder="0" applyAlignment="0" applyProtection="0">
      <alignment vertical="center"/>
    </xf>
    <xf numFmtId="0" fontId="87" fillId="28" borderId="0" applyNumberFormat="0" applyBorder="0" applyAlignment="0" applyProtection="0">
      <alignment vertical="center"/>
    </xf>
    <xf numFmtId="0" fontId="87" fillId="29" borderId="0" applyNumberFormat="0" applyBorder="0" applyAlignment="0" applyProtection="0">
      <alignment vertical="center"/>
    </xf>
    <xf numFmtId="0" fontId="88" fillId="30" borderId="0" applyNumberFormat="0" applyBorder="0" applyAlignment="0" applyProtection="0">
      <alignment vertical="center"/>
    </xf>
    <xf numFmtId="0" fontId="88" fillId="31" borderId="0" applyNumberFormat="0" applyBorder="0" applyAlignment="0" applyProtection="0">
      <alignment vertical="center"/>
    </xf>
    <xf numFmtId="0" fontId="87" fillId="32" borderId="0" applyNumberFormat="0" applyBorder="0" applyAlignment="0" applyProtection="0">
      <alignment vertical="center"/>
    </xf>
    <xf numFmtId="0" fontId="0" fillId="0" borderId="0">
      <alignment vertical="center"/>
    </xf>
    <xf numFmtId="0" fontId="89" fillId="0" borderId="0"/>
    <xf numFmtId="0" fontId="90" fillId="0" borderId="0"/>
    <xf numFmtId="177" fontId="90" fillId="0" borderId="0" applyFont="0" applyFill="0" applyBorder="0" applyAlignment="0" applyProtection="0"/>
    <xf numFmtId="43" fontId="0" fillId="0" borderId="0" applyFont="0" applyFill="0" applyBorder="0" applyAlignment="0" applyProtection="0">
      <alignment vertical="center"/>
    </xf>
    <xf numFmtId="0" fontId="90" fillId="0" borderId="0"/>
  </cellStyleXfs>
  <cellXfs count="390">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0" fillId="0" borderId="0" xfId="0" applyFont="1" applyAlignment="1">
      <alignment horizontal="center" vertical="center"/>
    </xf>
    <xf numFmtId="0" fontId="6" fillId="0" borderId="0" xfId="0" applyFont="1" applyAlignment="1">
      <alignment horizontal="center" vertical="center"/>
    </xf>
    <xf numFmtId="0" fontId="7" fillId="0" borderId="0" xfId="0" applyFont="1">
      <alignment vertical="center"/>
    </xf>
    <xf numFmtId="0" fontId="0" fillId="0" borderId="0" xfId="0" applyFont="1" applyAlignment="1">
      <alignment horizontal="left" vertical="center"/>
    </xf>
    <xf numFmtId="0" fontId="0" fillId="0" borderId="0" xfId="0" applyFont="1">
      <alignment vertical="center"/>
    </xf>
    <xf numFmtId="0" fontId="0" fillId="0" borderId="0" xfId="0" applyFont="1" applyAlignment="1">
      <alignment horizontal="center" vertical="center" shrinkToFit="1"/>
    </xf>
    <xf numFmtId="0" fontId="1" fillId="0" borderId="0" xfId="0" applyFont="1" applyAlignment="1">
      <alignment horizontal="left" vertical="center"/>
    </xf>
    <xf numFmtId="0" fontId="2" fillId="0" borderId="0" xfId="0" applyFont="1" applyAlignment="1">
      <alignment horizontal="centerContinuous" vertical="center"/>
    </xf>
    <xf numFmtId="0" fontId="8" fillId="0" borderId="0" xfId="0" applyFont="1" applyAlignment="1">
      <alignment horizontal="centerContinuous" vertical="center"/>
    </xf>
    <xf numFmtId="0" fontId="3" fillId="0" borderId="0" xfId="0" applyFont="1" applyAlignment="1">
      <alignment horizontal="left" vertical="center"/>
    </xf>
    <xf numFmtId="0" fontId="4" fillId="0" borderId="1" xfId="0" applyFont="1" applyBorder="1" applyAlignment="1">
      <alignment horizontal="lef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9" fontId="9" fillId="0" borderId="1" xfId="0" applyNumberFormat="1" applyFont="1" applyBorder="1" applyAlignment="1">
      <alignment horizontal="left" vertical="center"/>
    </xf>
    <xf numFmtId="0" fontId="10" fillId="0" borderId="1" xfId="0" applyFont="1" applyBorder="1">
      <alignment vertical="center"/>
    </xf>
    <xf numFmtId="0" fontId="9" fillId="0" borderId="1" xfId="0" applyFont="1" applyBorder="1" applyAlignment="1">
      <alignment horizontal="right" vertical="center"/>
    </xf>
    <xf numFmtId="49" fontId="11" fillId="0" borderId="1" xfId="0" applyNumberFormat="1" applyFont="1" applyBorder="1" applyAlignment="1">
      <alignment horizontal="left" vertical="center"/>
    </xf>
    <xf numFmtId="0" fontId="12" fillId="0" borderId="1" xfId="0" applyFont="1" applyBorder="1" applyAlignment="1">
      <alignment vertical="center" shrinkToFit="1"/>
    </xf>
    <xf numFmtId="1" fontId="13" fillId="0" borderId="2" xfId="0" applyNumberFormat="1" applyFont="1" applyFill="1" applyBorder="1" applyAlignment="1" applyProtection="1">
      <alignment vertical="center"/>
    </xf>
    <xf numFmtId="0" fontId="10" fillId="0" borderId="1" xfId="0" applyFont="1" applyBorder="1" applyAlignment="1">
      <alignment vertical="center" shrinkToFit="1"/>
    </xf>
    <xf numFmtId="1" fontId="14" fillId="0" borderId="2" xfId="0" applyNumberFormat="1" applyFont="1" applyFill="1" applyBorder="1" applyAlignment="1" applyProtection="1">
      <alignment vertical="center"/>
    </xf>
    <xf numFmtId="0" fontId="11" fillId="0" borderId="1" xfId="0" applyFont="1" applyBorder="1" applyAlignment="1">
      <alignment horizontal="right" vertical="center"/>
    </xf>
    <xf numFmtId="0" fontId="1" fillId="0" borderId="0" xfId="0" applyFont="1" applyAlignment="1">
      <alignment horizontal="center" vertical="center" shrinkToFit="1"/>
    </xf>
    <xf numFmtId="0" fontId="3" fillId="0" borderId="0" xfId="0" applyFont="1" applyAlignment="1">
      <alignment horizontal="center" vertical="center"/>
    </xf>
    <xf numFmtId="0" fontId="3" fillId="0" borderId="0" xfId="0" applyFont="1" applyAlignment="1">
      <alignment horizontal="right" vertical="center"/>
    </xf>
    <xf numFmtId="0" fontId="4" fillId="0" borderId="1" xfId="0" applyFont="1" applyBorder="1" applyAlignment="1">
      <alignment horizontal="center" vertical="center" shrinkToFit="1"/>
    </xf>
    <xf numFmtId="49" fontId="5" fillId="0" borderId="0" xfId="0" applyNumberFormat="1" applyFont="1">
      <alignment vertical="center"/>
    </xf>
    <xf numFmtId="0" fontId="6" fillId="0" borderId="1" xfId="0" applyFont="1" applyBorder="1" applyAlignment="1">
      <alignment horizontal="right" vertical="center"/>
    </xf>
    <xf numFmtId="49" fontId="6" fillId="0" borderId="0" xfId="0" applyNumberFormat="1" applyFont="1">
      <alignment vertical="center"/>
    </xf>
    <xf numFmtId="0" fontId="13" fillId="0" borderId="2" xfId="0" applyNumberFormat="1" applyFont="1" applyFill="1" applyBorder="1" applyAlignment="1" applyProtection="1">
      <alignment vertical="center"/>
    </xf>
    <xf numFmtId="49" fontId="0" fillId="0" borderId="0" xfId="0" applyNumberFormat="1" applyFont="1">
      <alignment vertical="center"/>
    </xf>
    <xf numFmtId="0" fontId="6" fillId="0" borderId="1" xfId="0" applyFont="1" applyBorder="1" applyAlignment="1">
      <alignment horizontal="right" vertical="center" shrinkToFit="1"/>
    </xf>
    <xf numFmtId="49" fontId="0" fillId="0" borderId="0" xfId="0" applyNumberFormat="1" applyFont="1" applyAlignment="1">
      <alignment horizontal="left" vertical="center"/>
    </xf>
    <xf numFmtId="49" fontId="6" fillId="0" borderId="0" xfId="0" applyNumberFormat="1" applyFont="1" applyAlignment="1">
      <alignment horizontal="left" vertical="center"/>
    </xf>
    <xf numFmtId="0" fontId="0" fillId="0" borderId="1" xfId="0" applyFont="1" applyBorder="1" applyAlignment="1">
      <alignment horizontal="right" vertical="center"/>
    </xf>
    <xf numFmtId="0" fontId="0" fillId="0" borderId="1" xfId="0" applyFont="1" applyBorder="1" applyAlignment="1">
      <alignment horizontal="right" vertical="center" shrinkToFit="1"/>
    </xf>
    <xf numFmtId="49" fontId="13" fillId="0" borderId="2" xfId="0" applyNumberFormat="1" applyFont="1" applyFill="1" applyBorder="1" applyAlignment="1" applyProtection="1">
      <alignment vertical="center"/>
    </xf>
    <xf numFmtId="0" fontId="15" fillId="0" borderId="2" xfId="0" applyNumberFormat="1" applyFont="1" applyFill="1" applyBorder="1" applyAlignment="1" applyProtection="1">
      <alignment horizontal="left" vertical="center" shrinkToFit="1"/>
    </xf>
    <xf numFmtId="49" fontId="7" fillId="0" borderId="0" xfId="0" applyNumberFormat="1" applyFont="1" applyAlignment="1">
      <alignment horizontal="left" vertical="center"/>
    </xf>
    <xf numFmtId="0" fontId="2" fillId="0" borderId="0" xfId="0" applyFont="1" applyAlignment="1">
      <alignment horizontal="center" vertical="center"/>
    </xf>
    <xf numFmtId="0" fontId="10" fillId="0" borderId="1" xfId="0" applyFont="1" applyBorder="1" applyAlignment="1">
      <alignment horizontal="center" vertical="center"/>
    </xf>
    <xf numFmtId="178" fontId="9" fillId="0" borderId="1" xfId="0" applyNumberFormat="1" applyFont="1" applyBorder="1">
      <alignment vertical="center"/>
    </xf>
    <xf numFmtId="179" fontId="9" fillId="0" borderId="1" xfId="0" applyNumberFormat="1" applyFont="1" applyBorder="1">
      <alignment vertical="center"/>
    </xf>
    <xf numFmtId="0" fontId="16" fillId="0" borderId="1" xfId="0" applyFont="1" applyBorder="1">
      <alignment vertical="center"/>
    </xf>
    <xf numFmtId="0" fontId="17" fillId="0" borderId="1" xfId="0" applyFont="1" applyBorder="1" applyAlignment="1">
      <alignment horizontal="left" vertical="center" indent="2"/>
    </xf>
    <xf numFmtId="178" fontId="18" fillId="0" borderId="1" xfId="0" applyNumberFormat="1" applyFont="1" applyBorder="1">
      <alignment vertical="center"/>
    </xf>
    <xf numFmtId="0" fontId="18" fillId="0" borderId="1" xfId="0" applyFont="1" applyBorder="1">
      <alignment vertical="center"/>
    </xf>
    <xf numFmtId="0" fontId="19" fillId="0" borderId="1" xfId="0" applyFont="1" applyBorder="1">
      <alignment vertical="center"/>
    </xf>
    <xf numFmtId="180" fontId="7" fillId="0" borderId="0" xfId="0" applyNumberFormat="1" applyFont="1">
      <alignment vertical="center"/>
    </xf>
    <xf numFmtId="0" fontId="12" fillId="0" borderId="1" xfId="0" applyFont="1" applyBorder="1">
      <alignment vertical="center"/>
    </xf>
    <xf numFmtId="178" fontId="11" fillId="0" borderId="1" xfId="0" applyNumberFormat="1" applyFont="1" applyBorder="1">
      <alignment vertical="center"/>
    </xf>
    <xf numFmtId="0" fontId="11" fillId="0" borderId="1" xfId="0" applyFont="1" applyBorder="1">
      <alignment vertical="center"/>
    </xf>
    <xf numFmtId="0" fontId="20" fillId="0" borderId="1" xfId="0" applyFont="1" applyBorder="1">
      <alignment vertical="center"/>
    </xf>
    <xf numFmtId="180" fontId="0" fillId="0" borderId="0" xfId="0" applyNumberFormat="1">
      <alignment vertical="center"/>
    </xf>
    <xf numFmtId="0" fontId="12" fillId="0" borderId="1" xfId="0" applyFont="1" applyBorder="1" applyAlignment="1">
      <alignment horizontal="left" vertical="center" indent="2"/>
    </xf>
    <xf numFmtId="0" fontId="20" fillId="0" borderId="1" xfId="0" applyFont="1" applyBorder="1" applyAlignment="1">
      <alignment vertical="center" wrapText="1"/>
    </xf>
    <xf numFmtId="180" fontId="0" fillId="0" borderId="0" xfId="0" applyNumberFormat="1" applyFont="1">
      <alignment vertical="center"/>
    </xf>
    <xf numFmtId="0" fontId="1" fillId="0" borderId="0" xfId="49" applyFont="1" applyFill="1">
      <alignment vertical="center"/>
    </xf>
    <xf numFmtId="0" fontId="2" fillId="0" borderId="0" xfId="49" applyFont="1" applyFill="1">
      <alignment vertical="center"/>
    </xf>
    <xf numFmtId="0" fontId="3" fillId="0" borderId="0" xfId="49" applyFont="1" applyFill="1">
      <alignment vertical="center"/>
    </xf>
    <xf numFmtId="0" fontId="4" fillId="0" borderId="0" xfId="49" applyFont="1" applyFill="1" applyAlignment="1">
      <alignment horizontal="center" vertical="center"/>
    </xf>
    <xf numFmtId="0" fontId="0" fillId="0" borderId="0" xfId="49" applyFill="1" applyAlignment="1">
      <alignment horizontal="center" vertical="center"/>
    </xf>
    <xf numFmtId="0" fontId="0" fillId="0" borderId="0" xfId="49" applyFill="1" applyAlignment="1">
      <alignment vertical="center" shrinkToFit="1"/>
    </xf>
    <xf numFmtId="0" fontId="0" fillId="0" borderId="0" xfId="49" applyFill="1">
      <alignment vertical="center"/>
    </xf>
    <xf numFmtId="0" fontId="1" fillId="0" borderId="0" xfId="49" applyFont="1" applyFill="1" applyAlignment="1">
      <alignment horizontal="center" vertical="center"/>
    </xf>
    <xf numFmtId="0" fontId="1" fillId="0" borderId="0" xfId="49" applyFont="1" applyFill="1" applyAlignment="1">
      <alignment vertical="center" shrinkToFit="1"/>
    </xf>
    <xf numFmtId="0" fontId="2" fillId="0" borderId="0" xfId="49" applyFont="1" applyFill="1" applyAlignment="1">
      <alignment horizontal="center" vertical="center"/>
    </xf>
    <xf numFmtId="0" fontId="3" fillId="0" borderId="0" xfId="49" applyFont="1" applyFill="1" applyAlignment="1">
      <alignment horizontal="center" vertical="center"/>
    </xf>
    <xf numFmtId="0" fontId="3" fillId="0" borderId="0" xfId="49" applyFont="1" applyFill="1" applyAlignment="1">
      <alignment vertical="center" shrinkToFit="1"/>
    </xf>
    <xf numFmtId="0" fontId="4" fillId="0" borderId="1" xfId="49" applyFont="1" applyFill="1" applyBorder="1" applyAlignment="1">
      <alignment horizontal="center" vertical="center" wrapText="1"/>
    </xf>
    <xf numFmtId="0" fontId="4" fillId="0" borderId="1" xfId="49" applyFont="1" applyFill="1" applyBorder="1" applyAlignment="1">
      <alignment horizontal="center" vertical="center" shrinkToFit="1"/>
    </xf>
    <xf numFmtId="0" fontId="21" fillId="0" borderId="1" xfId="49" applyFont="1" applyFill="1" applyBorder="1" applyAlignment="1">
      <alignment horizontal="center" vertical="center"/>
    </xf>
    <xf numFmtId="0" fontId="21" fillId="0" borderId="1" xfId="49" applyFont="1" applyFill="1" applyBorder="1" applyAlignment="1">
      <alignment horizontal="center" vertical="center" wrapText="1"/>
    </xf>
    <xf numFmtId="0" fontId="11" fillId="0" borderId="1" xfId="49" applyFont="1" applyFill="1" applyBorder="1" applyAlignment="1">
      <alignment horizontal="center" vertical="center" wrapText="1"/>
    </xf>
    <xf numFmtId="0" fontId="10" fillId="0" borderId="1" xfId="49" applyFont="1" applyFill="1" applyBorder="1" applyAlignment="1">
      <alignment horizontal="center" vertical="center" shrinkToFit="1"/>
    </xf>
    <xf numFmtId="181" fontId="9" fillId="0" borderId="1" xfId="49" applyNumberFormat="1" applyFont="1" applyFill="1" applyBorder="1" applyAlignment="1">
      <alignment horizontal="right" vertical="center"/>
    </xf>
    <xf numFmtId="0" fontId="22" fillId="0" borderId="1" xfId="49" applyFont="1" applyFill="1" applyBorder="1" applyAlignment="1">
      <alignment horizontal="center" vertical="center" shrinkToFit="1"/>
    </xf>
    <xf numFmtId="178" fontId="9" fillId="0" borderId="1" xfId="49" applyNumberFormat="1" applyFont="1" applyFill="1" applyBorder="1" applyAlignment="1">
      <alignment horizontal="right" vertical="center"/>
    </xf>
    <xf numFmtId="49" fontId="23" fillId="0" borderId="1" xfId="49" applyNumberFormat="1" applyFont="1" applyFill="1" applyBorder="1" applyAlignment="1">
      <alignment horizontal="center" vertical="center"/>
    </xf>
    <xf numFmtId="0" fontId="24" fillId="0" borderId="1" xfId="49" applyFont="1" applyFill="1" applyBorder="1" applyAlignment="1">
      <alignment vertical="center" shrinkToFit="1"/>
    </xf>
    <xf numFmtId="178" fontId="23" fillId="0" borderId="1" xfId="49" applyNumberFormat="1" applyFont="1" applyFill="1" applyBorder="1">
      <alignment vertical="center"/>
    </xf>
    <xf numFmtId="49" fontId="23" fillId="0" borderId="2" xfId="49" applyNumberFormat="1" applyFont="1" applyFill="1" applyBorder="1" applyAlignment="1">
      <alignment horizontal="center" vertical="center"/>
    </xf>
    <xf numFmtId="0" fontId="24" fillId="0" borderId="2" xfId="49" applyFont="1" applyFill="1" applyBorder="1" applyAlignment="1">
      <alignment vertical="center" shrinkToFit="1"/>
    </xf>
    <xf numFmtId="0" fontId="23" fillId="0" borderId="1" xfId="49" applyFont="1" applyFill="1" applyBorder="1" applyAlignment="1">
      <alignment horizontal="center" vertical="center"/>
    </xf>
    <xf numFmtId="178" fontId="25" fillId="0" borderId="1" xfId="49" applyNumberFormat="1" applyFont="1" applyFill="1" applyBorder="1">
      <alignment vertical="center"/>
    </xf>
    <xf numFmtId="0" fontId="3" fillId="0" borderId="0" xfId="49" applyFont="1" applyFill="1" applyAlignment="1">
      <alignment horizontal="right" vertical="center"/>
    </xf>
    <xf numFmtId="0" fontId="0" fillId="0" borderId="0" xfId="49" applyFont="1" applyFill="1" applyAlignment="1">
      <alignment horizontal="center" vertical="center"/>
    </xf>
    <xf numFmtId="49" fontId="11" fillId="0" borderId="1" xfId="49" applyNumberFormat="1" applyFont="1" applyFill="1" applyBorder="1" applyAlignment="1">
      <alignment horizontal="center" vertical="center"/>
    </xf>
    <xf numFmtId="0" fontId="12" fillId="0" borderId="1" xfId="49" applyFont="1" applyFill="1" applyBorder="1" applyAlignment="1">
      <alignment vertical="center" shrinkToFit="1"/>
    </xf>
    <xf numFmtId="49" fontId="23" fillId="0" borderId="1" xfId="49" applyNumberFormat="1" applyFont="1" applyFill="1" applyBorder="1" applyAlignment="1">
      <alignment horizontal="left" vertical="center"/>
    </xf>
    <xf numFmtId="49" fontId="11" fillId="0" borderId="1" xfId="49" applyNumberFormat="1" applyFont="1" applyFill="1" applyBorder="1" applyAlignment="1">
      <alignment horizontal="left" vertical="center"/>
    </xf>
    <xf numFmtId="0" fontId="11" fillId="0" borderId="1" xfId="49" applyFont="1" applyFill="1" applyBorder="1" applyAlignment="1">
      <alignment horizontal="center" vertical="center"/>
    </xf>
    <xf numFmtId="178" fontId="23" fillId="0" borderId="2" xfId="49" applyNumberFormat="1" applyFont="1" applyFill="1" applyBorder="1">
      <alignment vertical="center"/>
    </xf>
    <xf numFmtId="49" fontId="4" fillId="0" borderId="1" xfId="49" applyNumberFormat="1" applyFont="1" applyFill="1" applyBorder="1" applyAlignment="1">
      <alignment horizontal="center" vertical="center"/>
    </xf>
    <xf numFmtId="178" fontId="9" fillId="0" borderId="1" xfId="49" applyNumberFormat="1" applyFont="1" applyFill="1" applyBorder="1" applyAlignment="1">
      <alignment horizontal="right" vertical="center" wrapText="1"/>
    </xf>
    <xf numFmtId="0" fontId="4" fillId="0" borderId="1" xfId="49" applyFont="1" applyFill="1" applyBorder="1" applyAlignment="1">
      <alignment horizontal="center" vertical="center"/>
    </xf>
    <xf numFmtId="0" fontId="26" fillId="0" borderId="1" xfId="49" applyFont="1" applyFill="1" applyBorder="1" applyAlignment="1">
      <alignment horizontal="center" vertical="center" wrapText="1"/>
    </xf>
    <xf numFmtId="0" fontId="22" fillId="0" borderId="2" xfId="49" applyFont="1" applyFill="1" applyBorder="1" applyAlignment="1">
      <alignment horizontal="center" vertical="center" shrinkToFit="1"/>
    </xf>
    <xf numFmtId="178" fontId="23" fillId="0" borderId="2" xfId="49" applyNumberFormat="1" applyFont="1" applyFill="1" applyBorder="1" applyAlignment="1">
      <alignment vertical="center" wrapText="1"/>
    </xf>
    <xf numFmtId="178" fontId="25" fillId="0" borderId="1" xfId="49" applyNumberFormat="1" applyFont="1" applyFill="1" applyBorder="1" applyAlignment="1">
      <alignment horizontal="right" vertical="center" wrapText="1"/>
    </xf>
    <xf numFmtId="0" fontId="23" fillId="0" borderId="2" xfId="49" applyFont="1" applyFill="1" applyBorder="1" applyAlignment="1">
      <alignment horizontal="center" vertical="center"/>
    </xf>
    <xf numFmtId="178" fontId="25" fillId="0" borderId="2" xfId="49" applyNumberFormat="1" applyFont="1" applyFill="1" applyBorder="1" applyAlignment="1">
      <alignment horizontal="right" vertical="center" wrapText="1"/>
    </xf>
    <xf numFmtId="180" fontId="23" fillId="0" borderId="2" xfId="49" applyNumberFormat="1" applyFont="1" applyFill="1" applyBorder="1" applyAlignment="1">
      <alignment vertical="center" wrapText="1"/>
    </xf>
    <xf numFmtId="178" fontId="27" fillId="0" borderId="2" xfId="0" applyNumberFormat="1" applyFont="1" applyFill="1" applyBorder="1" applyAlignment="1" applyProtection="1">
      <alignment vertical="center" wrapText="1"/>
    </xf>
    <xf numFmtId="0" fontId="25" fillId="0" borderId="2" xfId="49" applyFont="1" applyFill="1" applyBorder="1" applyAlignment="1">
      <alignment horizontal="center" vertical="center"/>
    </xf>
    <xf numFmtId="178" fontId="23" fillId="0" borderId="2" xfId="49" applyNumberFormat="1" applyFont="1" applyFill="1" applyBorder="1" applyAlignment="1">
      <alignment horizontal="right" vertical="center" wrapText="1"/>
    </xf>
    <xf numFmtId="0" fontId="25" fillId="0" borderId="2" xfId="49" applyFont="1" applyFill="1" applyBorder="1" applyAlignment="1">
      <alignment horizontal="left" vertical="center"/>
    </xf>
    <xf numFmtId="49" fontId="23" fillId="0" borderId="2" xfId="49" applyNumberFormat="1" applyFont="1" applyFill="1" applyBorder="1" applyAlignment="1">
      <alignment horizontal="left" vertical="center"/>
    </xf>
    <xf numFmtId="180" fontId="27" fillId="0" borderId="2" xfId="0" applyNumberFormat="1" applyFont="1" applyFill="1" applyBorder="1" applyAlignment="1" applyProtection="1">
      <alignment vertical="center" wrapText="1"/>
    </xf>
    <xf numFmtId="0" fontId="6" fillId="0" borderId="0" xfId="49" applyFont="1" applyFill="1">
      <alignment vertical="center"/>
    </xf>
    <xf numFmtId="180" fontId="25" fillId="0" borderId="2" xfId="49" applyNumberFormat="1" applyFont="1" applyFill="1" applyBorder="1" applyAlignment="1">
      <alignment horizontal="right" vertical="center" wrapText="1"/>
    </xf>
    <xf numFmtId="180" fontId="11" fillId="0" borderId="1" xfId="1" applyNumberFormat="1" applyFont="1" applyFill="1" applyBorder="1" applyAlignment="1">
      <alignment vertical="center" wrapText="1"/>
    </xf>
    <xf numFmtId="180" fontId="27" fillId="0" borderId="3" xfId="0" applyNumberFormat="1" applyFont="1" applyFill="1" applyBorder="1" applyAlignment="1" applyProtection="1">
      <alignment vertical="center" wrapText="1"/>
    </xf>
    <xf numFmtId="180" fontId="27" fillId="0" borderId="4" xfId="0" applyNumberFormat="1" applyFont="1" applyFill="1" applyBorder="1" applyAlignment="1" applyProtection="1">
      <alignment vertical="center" wrapText="1"/>
    </xf>
    <xf numFmtId="180" fontId="27" fillId="0" borderId="1" xfId="0" applyNumberFormat="1" applyFont="1" applyFill="1" applyBorder="1" applyAlignment="1" applyProtection="1">
      <alignment vertical="center" wrapText="1"/>
    </xf>
    <xf numFmtId="182" fontId="13" fillId="0" borderId="0" xfId="0" applyNumberFormat="1" applyFont="1" applyFill="1" applyBorder="1" applyAlignment="1" applyProtection="1">
      <alignment vertical="center"/>
    </xf>
    <xf numFmtId="0" fontId="0" fillId="0" borderId="0" xfId="49" applyFill="1" applyAlignment="1">
      <alignment horizontal="left" vertical="center"/>
    </xf>
    <xf numFmtId="0" fontId="1" fillId="0" borderId="0" xfId="49" applyFont="1" applyFill="1" applyAlignment="1">
      <alignment horizontal="left" vertical="center"/>
    </xf>
    <xf numFmtId="0" fontId="28" fillId="0" borderId="2" xfId="49" applyFont="1" applyFill="1" applyBorder="1" applyAlignment="1">
      <alignment horizontal="center" vertical="center" wrapText="1"/>
    </xf>
    <xf numFmtId="0" fontId="29" fillId="0" borderId="3" xfId="49" applyFont="1" applyFill="1" applyBorder="1" applyAlignment="1">
      <alignment horizontal="left" vertical="center"/>
    </xf>
    <xf numFmtId="0" fontId="30" fillId="0" borderId="3" xfId="49" applyFont="1" applyFill="1" applyBorder="1" applyAlignment="1">
      <alignment horizontal="left" vertical="center" shrinkToFit="1"/>
    </xf>
    <xf numFmtId="183" fontId="25" fillId="0" borderId="3" xfId="49" applyNumberFormat="1" applyFont="1" applyFill="1" applyBorder="1">
      <alignment vertical="center"/>
    </xf>
    <xf numFmtId="0" fontId="31" fillId="0" borderId="2" xfId="0" applyFont="1" applyFill="1" applyBorder="1" applyAlignment="1" applyProtection="1">
      <alignment horizontal="left" vertical="center"/>
    </xf>
    <xf numFmtId="0" fontId="14" fillId="0" borderId="2" xfId="0" applyFont="1" applyFill="1" applyBorder="1" applyAlignment="1" applyProtection="1">
      <alignment vertical="center" shrinkToFit="1"/>
    </xf>
    <xf numFmtId="184" fontId="31" fillId="0" borderId="2" xfId="0" applyNumberFormat="1" applyFont="1" applyFill="1" applyBorder="1" applyAlignment="1" applyProtection="1">
      <alignment horizontal="right" vertical="center"/>
    </xf>
    <xf numFmtId="0" fontId="27" fillId="0" borderId="2" xfId="0" applyFont="1" applyFill="1" applyBorder="1" applyAlignment="1" applyProtection="1">
      <alignment horizontal="left" vertical="center"/>
    </xf>
    <xf numFmtId="0" fontId="32" fillId="0" borderId="2" xfId="0" applyFont="1" applyFill="1" applyBorder="1" applyAlignment="1" applyProtection="1">
      <alignment vertical="center" shrinkToFit="1"/>
    </xf>
    <xf numFmtId="184" fontId="27" fillId="0" borderId="2" xfId="0" applyNumberFormat="1" applyFont="1" applyFill="1" applyBorder="1" applyAlignment="1" applyProtection="1">
      <alignment horizontal="right" vertical="center"/>
    </xf>
    <xf numFmtId="0" fontId="13" fillId="0" borderId="2" xfId="0" applyFont="1" applyFill="1" applyBorder="1" applyAlignment="1" applyProtection="1">
      <alignment vertical="center" shrinkToFit="1"/>
    </xf>
    <xf numFmtId="185" fontId="27" fillId="0" borderId="2" xfId="0" applyNumberFormat="1" applyFont="1" applyFill="1" applyBorder="1" applyAlignment="1" applyProtection="1">
      <alignment horizontal="right" vertical="center"/>
    </xf>
    <xf numFmtId="0" fontId="0" fillId="0" borderId="0" xfId="49" applyFont="1" applyFill="1">
      <alignment vertical="center"/>
    </xf>
    <xf numFmtId="0" fontId="28" fillId="0" borderId="1" xfId="49" applyFont="1" applyFill="1" applyBorder="1" applyAlignment="1">
      <alignment horizontal="center" vertical="center" wrapText="1"/>
    </xf>
    <xf numFmtId="0" fontId="28" fillId="0" borderId="1" xfId="49" applyFont="1" applyFill="1" applyBorder="1" applyAlignment="1">
      <alignment horizontal="center" vertical="center" shrinkToFit="1"/>
    </xf>
    <xf numFmtId="0" fontId="9" fillId="0" borderId="1" xfId="49" applyFont="1" applyFill="1" applyBorder="1">
      <alignment vertical="center"/>
    </xf>
    <xf numFmtId="181" fontId="9" fillId="0" borderId="1" xfId="49" applyNumberFormat="1" applyFont="1" applyFill="1" applyBorder="1" applyAlignment="1">
      <alignment horizontal="right" vertical="center" wrapText="1"/>
    </xf>
    <xf numFmtId="0" fontId="5" fillId="0" borderId="0" xfId="49" applyFont="1" applyFill="1">
      <alignment vertical="center"/>
    </xf>
    <xf numFmtId="186" fontId="23" fillId="0" borderId="2" xfId="49" applyNumberFormat="1" applyFont="1" applyFill="1" applyBorder="1" applyAlignment="1">
      <alignment horizontal="right" vertical="center" wrapText="1"/>
    </xf>
    <xf numFmtId="49" fontId="9" fillId="0" borderId="1" xfId="49" applyNumberFormat="1" applyFont="1" applyFill="1" applyBorder="1" applyAlignment="1">
      <alignment horizontal="center" vertical="center"/>
    </xf>
    <xf numFmtId="186" fontId="9" fillId="0" borderId="1" xfId="49" applyNumberFormat="1" applyFont="1" applyFill="1" applyBorder="1" applyAlignment="1">
      <alignment horizontal="right" vertical="center" wrapText="1"/>
    </xf>
    <xf numFmtId="178" fontId="11" fillId="0" borderId="1" xfId="49" applyNumberFormat="1" applyFont="1" applyFill="1" applyBorder="1" applyAlignment="1">
      <alignment horizontal="right" vertical="center" wrapText="1"/>
    </xf>
    <xf numFmtId="187" fontId="5" fillId="0" borderId="0" xfId="49" applyNumberFormat="1" applyFont="1" applyFill="1">
      <alignment vertical="center"/>
    </xf>
    <xf numFmtId="0" fontId="33" fillId="0" borderId="0" xfId="49" applyFont="1" applyFill="1">
      <alignment vertical="center"/>
    </xf>
    <xf numFmtId="187" fontId="0" fillId="0" borderId="0" xfId="49" applyNumberFormat="1" applyFill="1">
      <alignment vertical="center"/>
    </xf>
    <xf numFmtId="0" fontId="15" fillId="0" borderId="2" xfId="0" applyFont="1" applyFill="1" applyBorder="1" applyAlignment="1" applyProtection="1">
      <alignment vertical="center"/>
    </xf>
    <xf numFmtId="186" fontId="13" fillId="0" borderId="2" xfId="0" applyNumberFormat="1" applyFont="1" applyFill="1" applyBorder="1" applyAlignment="1" applyProtection="1">
      <alignment vertical="center"/>
    </xf>
    <xf numFmtId="0" fontId="9" fillId="0" borderId="1" xfId="49" applyFont="1" applyFill="1" applyBorder="1" applyAlignment="1">
      <alignment horizontal="center" vertical="center"/>
    </xf>
    <xf numFmtId="186" fontId="0" fillId="0" borderId="0" xfId="49" applyNumberFormat="1" applyFill="1" applyAlignment="1">
      <alignment horizontal="right" vertical="center" wrapText="1"/>
    </xf>
    <xf numFmtId="186" fontId="23" fillId="0" borderId="1" xfId="49" applyNumberFormat="1" applyFont="1" applyFill="1" applyBorder="1" applyAlignment="1">
      <alignment horizontal="right" vertical="center" wrapText="1"/>
    </xf>
    <xf numFmtId="49" fontId="5" fillId="0" borderId="1" xfId="49" applyNumberFormat="1" applyFont="1" applyFill="1" applyBorder="1" applyAlignment="1">
      <alignment horizontal="center"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4" fillId="0" borderId="0" xfId="0" applyFont="1" applyFill="1">
      <alignment vertical="center"/>
    </xf>
    <xf numFmtId="0" fontId="6" fillId="0" borderId="0" xfId="0" applyFont="1" applyFill="1">
      <alignment vertical="center"/>
    </xf>
    <xf numFmtId="0" fontId="0" fillId="0" borderId="0" xfId="0" applyFill="1">
      <alignment vertical="center"/>
    </xf>
    <xf numFmtId="0" fontId="1" fillId="0" borderId="0" xfId="0" applyFont="1" applyFill="1" applyBorder="1" applyAlignment="1">
      <alignment vertical="center"/>
    </xf>
    <xf numFmtId="3" fontId="1" fillId="0" borderId="0" xfId="0" applyNumberFormat="1" applyFont="1" applyFill="1" applyBorder="1" applyAlignment="1">
      <alignment vertical="center"/>
    </xf>
    <xf numFmtId="188" fontId="1" fillId="0" borderId="0" xfId="0" applyNumberFormat="1" applyFont="1" applyFill="1" applyBorder="1" applyAlignment="1">
      <alignment vertical="center"/>
    </xf>
    <xf numFmtId="0" fontId="34" fillId="0" borderId="0" xfId="0" applyFont="1" applyFill="1" applyBorder="1" applyAlignment="1">
      <alignment horizontal="center" vertical="center"/>
    </xf>
    <xf numFmtId="3" fontId="34" fillId="0" borderId="0" xfId="0" applyNumberFormat="1" applyFont="1" applyFill="1" applyBorder="1" applyAlignment="1">
      <alignment horizontal="center" vertical="center"/>
    </xf>
    <xf numFmtId="188" fontId="34" fillId="0" borderId="0" xfId="0" applyNumberFormat="1" applyFont="1" applyFill="1" applyBorder="1" applyAlignment="1">
      <alignment horizontal="center" vertical="center"/>
    </xf>
    <xf numFmtId="0" fontId="3" fillId="0" borderId="0" xfId="0" applyFont="1" applyFill="1" applyBorder="1" applyAlignment="1">
      <alignment vertical="center"/>
    </xf>
    <xf numFmtId="3" fontId="3" fillId="0" borderId="0" xfId="0" applyNumberFormat="1" applyFont="1" applyFill="1" applyBorder="1" applyAlignment="1">
      <alignment vertical="center"/>
    </xf>
    <xf numFmtId="188" fontId="3" fillId="0" borderId="0" xfId="0" applyNumberFormat="1" applyFont="1" applyFill="1" applyBorder="1" applyAlignment="1">
      <alignment vertical="center"/>
    </xf>
    <xf numFmtId="0" fontId="28" fillId="0" borderId="1" xfId="50" applyFont="1" applyFill="1" applyBorder="1" applyAlignment="1">
      <alignment horizontal="center" vertical="center"/>
    </xf>
    <xf numFmtId="3" fontId="28" fillId="0" borderId="1" xfId="50" applyNumberFormat="1" applyFont="1" applyFill="1" applyBorder="1" applyAlignment="1">
      <alignment horizontal="center" vertical="center"/>
    </xf>
    <xf numFmtId="188" fontId="28" fillId="0" borderId="1" xfId="50" applyNumberFormat="1" applyFont="1" applyFill="1" applyBorder="1" applyAlignment="1">
      <alignment horizontal="center" vertical="center"/>
    </xf>
    <xf numFmtId="0" fontId="28" fillId="0" borderId="1" xfId="50" applyFont="1" applyFill="1" applyBorder="1" applyAlignment="1">
      <alignment horizontal="center" vertical="center" wrapText="1"/>
    </xf>
    <xf numFmtId="3" fontId="28" fillId="0" borderId="1" xfId="50" applyNumberFormat="1" applyFont="1" applyFill="1" applyBorder="1" applyAlignment="1">
      <alignment horizontal="center" vertical="center" wrapText="1"/>
    </xf>
    <xf numFmtId="188" fontId="28" fillId="0" borderId="1" xfId="50" applyNumberFormat="1" applyFont="1" applyFill="1" applyBorder="1" applyAlignment="1">
      <alignment horizontal="center" vertical="center" wrapText="1"/>
    </xf>
    <xf numFmtId="0" fontId="35" fillId="0" borderId="1" xfId="0" applyFont="1" applyFill="1" applyBorder="1" applyAlignment="1" applyProtection="1">
      <alignment vertical="center"/>
    </xf>
    <xf numFmtId="189" fontId="31" fillId="0" borderId="1" xfId="1" applyNumberFormat="1" applyFont="1" applyFill="1" applyBorder="1" applyAlignment="1" applyProtection="1">
      <alignment horizontal="center" vertical="center"/>
    </xf>
    <xf numFmtId="0" fontId="36" fillId="0" borderId="1" xfId="0" applyFont="1" applyFill="1" applyBorder="1" applyAlignment="1" applyProtection="1">
      <alignment vertical="center"/>
    </xf>
    <xf numFmtId="189" fontId="27" fillId="0" borderId="1" xfId="1" applyNumberFormat="1" applyFont="1" applyFill="1" applyBorder="1" applyAlignment="1" applyProtection="1">
      <alignment horizontal="center" vertical="center"/>
    </xf>
    <xf numFmtId="0" fontId="35" fillId="0" borderId="1" xfId="0" applyFont="1" applyFill="1" applyBorder="1" applyAlignment="1" applyProtection="1">
      <alignment horizontal="left" vertical="center"/>
    </xf>
    <xf numFmtId="0" fontId="36" fillId="0" borderId="1" xfId="0" applyFont="1" applyFill="1" applyBorder="1" applyAlignment="1" applyProtection="1">
      <alignment horizontal="left" vertical="center" wrapText="1" indent="1"/>
    </xf>
    <xf numFmtId="0" fontId="36" fillId="0" borderId="1" xfId="0" applyFont="1" applyFill="1" applyBorder="1" applyAlignment="1" applyProtection="1">
      <alignment horizontal="left" vertical="center"/>
    </xf>
    <xf numFmtId="0" fontId="36" fillId="0" borderId="1" xfId="50" applyFont="1" applyFill="1" applyBorder="1" applyAlignment="1">
      <alignment horizontal="left" vertical="center" wrapText="1" indent="1"/>
    </xf>
    <xf numFmtId="0" fontId="37" fillId="0" borderId="1" xfId="0" applyFont="1" applyFill="1" applyBorder="1" applyAlignment="1" applyProtection="1"/>
    <xf numFmtId="0" fontId="37" fillId="0" borderId="1" xfId="0" applyFont="1" applyFill="1" applyBorder="1" applyAlignment="1" applyProtection="1">
      <alignment horizontal="left"/>
    </xf>
    <xf numFmtId="0" fontId="35" fillId="0" borderId="1" xfId="0" applyFont="1" applyFill="1" applyBorder="1" applyAlignment="1" applyProtection="1">
      <alignment horizontal="center" vertical="center"/>
    </xf>
    <xf numFmtId="3" fontId="3" fillId="0" borderId="0" xfId="0" applyNumberFormat="1" applyFont="1" applyFill="1" applyBorder="1" applyAlignment="1">
      <alignment horizontal="right" vertical="center"/>
    </xf>
    <xf numFmtId="0" fontId="21" fillId="0" borderId="0" xfId="0" applyFont="1" applyFill="1">
      <alignment vertical="center"/>
    </xf>
    <xf numFmtId="0" fontId="11" fillId="0" borderId="0" xfId="0" applyFont="1" applyFill="1" applyAlignment="1">
      <alignment horizontal="center" vertical="center"/>
    </xf>
    <xf numFmtId="0" fontId="0" fillId="0" borderId="0" xfId="0" applyFill="1" applyAlignment="1">
      <alignment vertical="center" shrinkToFit="1"/>
    </xf>
    <xf numFmtId="0" fontId="1" fillId="0" borderId="0" xfId="0" applyFont="1" applyFill="1" applyAlignment="1">
      <alignment horizontal="left" vertical="center"/>
    </xf>
    <xf numFmtId="0" fontId="1" fillId="0" borderId="0" xfId="0" applyFont="1" applyFill="1" applyAlignment="1">
      <alignment vertical="center" shrinkToFi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shrinkToFit="1"/>
    </xf>
    <xf numFmtId="0" fontId="38" fillId="0" borderId="1" xfId="0" applyFont="1" applyFill="1" applyBorder="1" applyAlignment="1">
      <alignment horizontal="center" vertical="center" wrapText="1"/>
    </xf>
    <xf numFmtId="0" fontId="39" fillId="0" borderId="1" xfId="0" applyFont="1" applyFill="1" applyBorder="1" applyAlignment="1">
      <alignment horizontal="center" vertical="center" shrinkToFit="1"/>
    </xf>
    <xf numFmtId="0" fontId="39" fillId="0" borderId="1" xfId="0" applyFont="1" applyFill="1" applyBorder="1" applyAlignment="1">
      <alignment horizontal="center" vertical="center" wrapText="1"/>
    </xf>
    <xf numFmtId="0" fontId="39" fillId="0" borderId="1" xfId="0" applyFont="1" applyFill="1" applyBorder="1" applyAlignment="1">
      <alignment vertical="center" shrinkToFit="1"/>
    </xf>
    <xf numFmtId="0" fontId="39" fillId="0" borderId="1" xfId="0" applyFont="1" applyFill="1" applyBorder="1" applyAlignment="1">
      <alignment vertical="center" wrapText="1"/>
    </xf>
    <xf numFmtId="49" fontId="14" fillId="0" borderId="2" xfId="0" applyNumberFormat="1" applyFont="1" applyFill="1" applyBorder="1" applyAlignment="1" applyProtection="1">
      <alignment horizontal="left" vertical="center"/>
    </xf>
    <xf numFmtId="0" fontId="40" fillId="0" borderId="2" xfId="0" applyFont="1" applyFill="1" applyBorder="1" applyAlignment="1" applyProtection="1">
      <alignment vertical="center" shrinkToFit="1"/>
    </xf>
    <xf numFmtId="189" fontId="31" fillId="0" borderId="5" xfId="1" applyNumberFormat="1" applyFont="1" applyFill="1" applyBorder="1" applyAlignment="1" applyProtection="1">
      <alignment horizontal="center" vertical="center"/>
    </xf>
    <xf numFmtId="0" fontId="14" fillId="0" borderId="2" xfId="0" applyFont="1" applyFill="1" applyBorder="1" applyAlignment="1" applyProtection="1">
      <alignment horizontal="left" vertical="center"/>
    </xf>
    <xf numFmtId="49" fontId="31" fillId="0" borderId="5" xfId="1" applyNumberFormat="1" applyFont="1" applyFill="1" applyBorder="1" applyAlignment="1" applyProtection="1">
      <alignment horizontal="center" vertical="center"/>
    </xf>
    <xf numFmtId="0" fontId="40" fillId="0" borderId="2" xfId="0" applyFont="1" applyFill="1" applyBorder="1" applyAlignment="1">
      <alignment vertical="center" shrinkToFit="1"/>
    </xf>
    <xf numFmtId="49" fontId="13" fillId="0" borderId="2" xfId="0" applyNumberFormat="1" applyFont="1" applyFill="1" applyBorder="1" applyAlignment="1" applyProtection="1">
      <alignment horizontal="left" vertical="center"/>
    </xf>
    <xf numFmtId="0" fontId="24" fillId="0" borderId="2" xfId="0" applyFont="1" applyFill="1" applyBorder="1" applyAlignment="1" applyProtection="1">
      <alignment vertical="center" shrinkToFit="1"/>
    </xf>
    <xf numFmtId="190" fontId="27" fillId="0" borderId="5" xfId="1" applyNumberFormat="1" applyFont="1" applyFill="1" applyBorder="1" applyAlignment="1" applyProtection="1">
      <alignment horizontal="center" vertical="center"/>
    </xf>
    <xf numFmtId="0" fontId="3" fillId="0" borderId="0" xfId="0" applyFont="1" applyFill="1" applyAlignment="1">
      <alignment horizontal="right" vertical="center"/>
    </xf>
    <xf numFmtId="0" fontId="41" fillId="0" borderId="0" xfId="0" applyFont="1" applyFill="1" applyBorder="1" applyAlignment="1" applyProtection="1">
      <alignment horizontal="center" vertical="center"/>
    </xf>
    <xf numFmtId="0" fontId="22" fillId="0" borderId="2" xfId="0" applyFont="1" applyFill="1" applyBorder="1" applyAlignment="1" applyProtection="1">
      <alignment vertical="center" shrinkToFit="1"/>
    </xf>
    <xf numFmtId="0" fontId="42" fillId="0" borderId="1" xfId="0" applyFont="1" applyFill="1" applyBorder="1" applyAlignment="1">
      <alignment vertical="center" shrinkToFit="1"/>
    </xf>
    <xf numFmtId="49" fontId="27" fillId="0" borderId="5" xfId="1" applyNumberFormat="1" applyFont="1" applyFill="1" applyBorder="1" applyAlignment="1" applyProtection="1">
      <alignment horizontal="center" vertical="center"/>
    </xf>
    <xf numFmtId="0" fontId="24" fillId="0" borderId="2" xfId="0" applyFont="1" applyFill="1" applyBorder="1" applyAlignment="1">
      <alignment vertical="center" shrinkToFit="1"/>
    </xf>
    <xf numFmtId="191" fontId="31" fillId="0" borderId="5" xfId="1" applyNumberFormat="1" applyFont="1" applyFill="1" applyBorder="1" applyAlignment="1" applyProtection="1">
      <alignment horizontal="center"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1" fillId="0" borderId="0" xfId="0" applyFont="1" applyFill="1" applyAlignment="1">
      <alignment vertical="center"/>
    </xf>
    <xf numFmtId="0" fontId="0" fillId="0" borderId="0" xfId="0" applyFill="1" applyAlignment="1">
      <alignment vertical="center"/>
    </xf>
    <xf numFmtId="0" fontId="1" fillId="0" borderId="0" xfId="0" applyFont="1" applyFill="1" applyAlignment="1">
      <alignment horizontal="center" vertical="center"/>
    </xf>
    <xf numFmtId="0" fontId="14" fillId="0" borderId="2" xfId="0" applyNumberFormat="1" applyFont="1" applyFill="1" applyBorder="1" applyAlignment="1" applyProtection="1">
      <alignment horizontal="center" vertical="center"/>
    </xf>
    <xf numFmtId="0" fontId="40" fillId="0" borderId="2" xfId="0" applyNumberFormat="1" applyFont="1" applyFill="1" applyBorder="1" applyAlignment="1" applyProtection="1">
      <alignment vertical="center"/>
    </xf>
    <xf numFmtId="49" fontId="13" fillId="0" borderId="2" xfId="0" applyNumberFormat="1" applyFont="1" applyFill="1" applyBorder="1" applyAlignment="1" applyProtection="1">
      <alignment horizontal="center" vertical="center"/>
    </xf>
    <xf numFmtId="49" fontId="24" fillId="0" borderId="2" xfId="0" applyNumberFormat="1" applyFont="1" applyFill="1" applyBorder="1" applyAlignment="1" applyProtection="1">
      <alignment vertical="center" shrinkToFit="1"/>
      <protection locked="0"/>
    </xf>
    <xf numFmtId="192" fontId="27" fillId="0" borderId="5" xfId="1" applyNumberFormat="1" applyFont="1" applyFill="1" applyBorder="1" applyAlignment="1" applyProtection="1">
      <alignment horizontal="center" vertical="center"/>
    </xf>
    <xf numFmtId="0" fontId="24" fillId="0" borderId="2" xfId="0" applyNumberFormat="1" applyFont="1" applyFill="1" applyBorder="1" applyAlignment="1" applyProtection="1">
      <alignment vertical="center"/>
    </xf>
    <xf numFmtId="49" fontId="24" fillId="0" borderId="2" xfId="0" applyNumberFormat="1" applyFont="1" applyFill="1" applyBorder="1" applyAlignment="1" applyProtection="1">
      <alignment vertical="center"/>
      <protection locked="0"/>
    </xf>
    <xf numFmtId="0" fontId="43" fillId="0" borderId="0" xfId="0" applyFont="1" applyFill="1" applyBorder="1" applyAlignment="1"/>
    <xf numFmtId="0" fontId="44" fillId="0" borderId="0" xfId="0" applyFont="1" applyFill="1" applyBorder="1" applyAlignment="1"/>
    <xf numFmtId="49" fontId="41" fillId="0" borderId="2"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left" vertical="center"/>
    </xf>
    <xf numFmtId="0" fontId="13" fillId="0" borderId="2" xfId="0" applyFont="1" applyFill="1" applyBorder="1" applyAlignment="1" applyProtection="1">
      <alignment vertical="center"/>
    </xf>
    <xf numFmtId="192" fontId="15" fillId="0" borderId="5" xfId="1" applyNumberFormat="1" applyFont="1" applyFill="1" applyBorder="1" applyAlignment="1" applyProtection="1">
      <alignment horizontal="center" vertical="center"/>
    </xf>
    <xf numFmtId="0" fontId="0" fillId="0" borderId="0" xfId="0" applyFill="1" applyAlignment="1">
      <alignment horizontal="center" vertical="center"/>
    </xf>
    <xf numFmtId="0" fontId="45" fillId="0" borderId="0" xfId="0" applyFont="1" applyFill="1" applyAlignment="1">
      <alignment horizontal="center"/>
    </xf>
    <xf numFmtId="0" fontId="2" fillId="0" borderId="0" xfId="0" applyFont="1" applyFill="1" applyAlignment="1">
      <alignment horizontal="centerContinuous" vertical="center"/>
    </xf>
    <xf numFmtId="0" fontId="8" fillId="0" borderId="0" xfId="0" applyFont="1" applyFill="1" applyAlignment="1">
      <alignment horizontal="centerContinuous" vertical="center"/>
    </xf>
    <xf numFmtId="0" fontId="28" fillId="0" borderId="2"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6" fillId="0" borderId="7" xfId="0" applyFont="1" applyFill="1" applyBorder="1" applyAlignment="1">
      <alignment horizontal="center" vertical="center" wrapText="1"/>
    </xf>
    <xf numFmtId="0" fontId="46" fillId="0" borderId="8" xfId="0" applyFont="1" applyFill="1" applyBorder="1" applyAlignment="1">
      <alignment horizontal="center" vertical="center" wrapText="1"/>
    </xf>
    <xf numFmtId="0" fontId="46" fillId="0" borderId="9" xfId="0" applyFont="1" applyFill="1" applyBorder="1" applyAlignment="1">
      <alignment horizontal="center" vertical="center" wrapText="1"/>
    </xf>
    <xf numFmtId="49" fontId="47" fillId="0" borderId="5" xfId="1" applyNumberFormat="1" applyFont="1" applyFill="1" applyBorder="1" applyAlignment="1" applyProtection="1">
      <alignment horizontal="center" vertical="center"/>
    </xf>
    <xf numFmtId="189" fontId="47" fillId="0" borderId="5" xfId="1" applyNumberFormat="1" applyFont="1" applyFill="1" applyBorder="1" applyAlignment="1" applyProtection="1">
      <alignment horizontal="center" vertical="center"/>
    </xf>
    <xf numFmtId="0" fontId="46" fillId="0" borderId="1" xfId="0" applyFont="1" applyFill="1" applyBorder="1" applyAlignment="1">
      <alignment horizontal="center" vertical="center"/>
    </xf>
    <xf numFmtId="0" fontId="46" fillId="0" borderId="10" xfId="0" applyFont="1" applyFill="1" applyBorder="1" applyAlignment="1">
      <alignment horizontal="center" vertical="center" wrapText="1"/>
    </xf>
    <xf numFmtId="0" fontId="0" fillId="0" borderId="0" xfId="0" applyFont="1" applyFill="1" applyAlignment="1">
      <alignment horizontal="center" vertical="center"/>
    </xf>
    <xf numFmtId="0" fontId="41" fillId="0" borderId="2" xfId="0" applyFont="1" applyFill="1" applyBorder="1" applyAlignment="1" applyProtection="1">
      <alignment vertical="center" shrinkToFit="1"/>
    </xf>
    <xf numFmtId="0" fontId="42" fillId="0" borderId="2" xfId="0" applyFont="1" applyFill="1" applyBorder="1" applyAlignment="1">
      <alignment vertical="center" shrinkToFit="1"/>
    </xf>
    <xf numFmtId="189" fontId="48" fillId="0" borderId="5" xfId="1" applyNumberFormat="1" applyFont="1" applyFill="1" applyBorder="1" applyAlignment="1" applyProtection="1">
      <alignment horizontal="center" vertical="center"/>
    </xf>
    <xf numFmtId="192" fontId="47" fillId="0" borderId="5" xfId="1" applyNumberFormat="1" applyFont="1" applyFill="1" applyBorder="1" applyAlignment="1" applyProtection="1">
      <alignment horizontal="center" vertical="center"/>
    </xf>
    <xf numFmtId="0" fontId="13" fillId="0" borderId="0" xfId="0" applyFont="1" applyFill="1" applyBorder="1" applyAlignment="1" applyProtection="1"/>
    <xf numFmtId="0" fontId="4"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9" fillId="0" borderId="1" xfId="0" applyFont="1" applyFill="1" applyBorder="1">
      <alignment vertical="center"/>
    </xf>
    <xf numFmtId="193" fontId="50" fillId="0" borderId="1" xfId="1" applyNumberFormat="1" applyFont="1" applyFill="1" applyBorder="1" applyAlignment="1">
      <alignment horizontal="right" vertical="center"/>
    </xf>
    <xf numFmtId="188" fontId="50" fillId="0" borderId="1" xfId="1" applyNumberFormat="1" applyFont="1" applyFill="1" applyBorder="1">
      <alignment vertical="center"/>
    </xf>
    <xf numFmtId="0" fontId="49" fillId="0" borderId="1" xfId="0" applyFont="1" applyFill="1" applyBorder="1" applyAlignment="1">
      <alignment vertical="center" wrapText="1"/>
    </xf>
    <xf numFmtId="188" fontId="0" fillId="0" borderId="0" xfId="0" applyNumberFormat="1" applyFill="1">
      <alignment vertical="center"/>
    </xf>
    <xf numFmtId="0" fontId="0" fillId="0" borderId="0" xfId="0" applyFill="1" applyBorder="1" applyAlignment="1">
      <alignment horizontal="right" vertical="center"/>
    </xf>
    <xf numFmtId="0" fontId="0" fillId="0" borderId="0" xfId="0" applyFill="1" applyBorder="1">
      <alignment vertical="center"/>
    </xf>
    <xf numFmtId="0" fontId="1" fillId="0" borderId="0" xfId="0" applyFont="1" applyFill="1" applyBorder="1" applyAlignment="1">
      <alignment horizontal="right" vertical="center"/>
    </xf>
    <xf numFmtId="0" fontId="2" fillId="0" borderId="0" xfId="0" applyFont="1" applyFill="1" applyBorder="1" applyAlignment="1">
      <alignment horizontal="right" vertical="center"/>
    </xf>
    <xf numFmtId="0" fontId="3" fillId="0" borderId="0" xfId="0" applyFont="1" applyFill="1" applyAlignment="1">
      <alignment horizontal="right" vertical="center" indent="2"/>
    </xf>
    <xf numFmtId="0" fontId="3" fillId="0" borderId="0" xfId="0" applyFont="1" applyFill="1" applyBorder="1" applyAlignment="1">
      <alignment horizontal="right" vertical="center"/>
    </xf>
    <xf numFmtId="0" fontId="4" fillId="0" borderId="0" xfId="0" applyFont="1" applyFill="1" applyBorder="1" applyAlignment="1">
      <alignment horizontal="right" vertical="center"/>
    </xf>
    <xf numFmtId="0" fontId="10" fillId="0" borderId="1" xfId="0" applyFont="1" applyFill="1" applyBorder="1" applyAlignment="1">
      <alignment horizontal="center" vertical="center" shrinkToFit="1"/>
    </xf>
    <xf numFmtId="188" fontId="29" fillId="0" borderId="1" xfId="1" applyNumberFormat="1" applyFont="1" applyFill="1" applyBorder="1" applyAlignment="1">
      <alignment horizontal="center" vertical="center" wrapText="1" shrinkToFit="1"/>
    </xf>
    <xf numFmtId="0" fontId="0" fillId="0" borderId="1" xfId="0" applyFill="1" applyBorder="1">
      <alignment vertical="center"/>
    </xf>
    <xf numFmtId="0" fontId="10" fillId="0" borderId="1" xfId="0" applyFont="1" applyFill="1" applyBorder="1" applyAlignment="1">
      <alignment horizontal="left" vertical="center" shrinkToFit="1"/>
    </xf>
    <xf numFmtId="188" fontId="29" fillId="0" borderId="1" xfId="1" applyNumberFormat="1" applyFont="1" applyFill="1" applyBorder="1" applyAlignment="1">
      <alignment horizontal="right" vertical="center" wrapText="1" shrinkToFit="1"/>
    </xf>
    <xf numFmtId="0" fontId="6" fillId="0" borderId="1" xfId="0" applyFont="1" applyFill="1" applyBorder="1">
      <alignment vertical="center"/>
    </xf>
    <xf numFmtId="0" fontId="51" fillId="0" borderId="0" xfId="0" applyFont="1" applyBorder="1" applyAlignment="1">
      <alignment horizontal="left" vertical="center"/>
    </xf>
    <xf numFmtId="0" fontId="12" fillId="0" borderId="1" xfId="0" applyFont="1" applyFill="1" applyBorder="1" applyAlignment="1">
      <alignment horizontal="left" vertical="center" indent="1" shrinkToFit="1"/>
    </xf>
    <xf numFmtId="188" fontId="52" fillId="0" borderId="1" xfId="1" applyNumberFormat="1" applyFont="1" applyFill="1" applyBorder="1" applyAlignment="1">
      <alignment horizontal="right" vertical="center" wrapText="1" shrinkToFit="1"/>
    </xf>
    <xf numFmtId="188" fontId="53" fillId="0" borderId="1" xfId="1" applyNumberFormat="1" applyFont="1" applyFill="1" applyBorder="1" applyAlignment="1">
      <alignment horizontal="right" vertical="center" wrapText="1" shrinkToFit="1"/>
    </xf>
    <xf numFmtId="0" fontId="12" fillId="0" borderId="1" xfId="0" applyFont="1" applyFill="1" applyBorder="1" applyAlignment="1">
      <alignment horizontal="left" vertical="center" indent="1"/>
    </xf>
    <xf numFmtId="0" fontId="51" fillId="0" borderId="1" xfId="0" applyFont="1" applyFill="1" applyBorder="1">
      <alignment vertical="center"/>
    </xf>
    <xf numFmtId="0" fontId="1" fillId="0" borderId="0" xfId="0" applyFont="1" applyFill="1" applyBorder="1">
      <alignment vertical="center"/>
    </xf>
    <xf numFmtId="0" fontId="2" fillId="0" borderId="0" xfId="0" applyFont="1" applyFill="1" applyBorder="1">
      <alignment vertical="center"/>
    </xf>
    <xf numFmtId="0" fontId="3" fillId="0" borderId="0" xfId="0" applyFont="1" applyFill="1" applyBorder="1">
      <alignment vertical="center"/>
    </xf>
    <xf numFmtId="0" fontId="4" fillId="0" borderId="0" xfId="0" applyFont="1" applyFill="1" applyBorder="1" applyAlignment="1">
      <alignment horizontal="center" vertical="center"/>
    </xf>
    <xf numFmtId="188" fontId="52" fillId="0" borderId="0" xfId="1" applyNumberFormat="1" applyFont="1" applyFill="1" applyBorder="1" applyAlignment="1">
      <alignment horizontal="right" vertical="center" wrapText="1" shrinkToFit="1"/>
    </xf>
    <xf numFmtId="49" fontId="52" fillId="0" borderId="0" xfId="1" applyNumberFormat="1" applyFont="1" applyFill="1" applyBorder="1" applyAlignment="1">
      <alignment horizontal="right" vertical="center" wrapText="1" shrinkToFit="1"/>
    </xf>
    <xf numFmtId="0" fontId="6" fillId="0" borderId="0" xfId="0" applyFont="1" applyFill="1" applyBorder="1">
      <alignment vertical="center"/>
    </xf>
    <xf numFmtId="188" fontId="29" fillId="0" borderId="0" xfId="1" applyNumberFormat="1" applyFont="1" applyFill="1" applyBorder="1" applyAlignment="1">
      <alignment horizontal="right" vertical="center" wrapText="1" shrinkToFit="1"/>
    </xf>
    <xf numFmtId="49" fontId="29" fillId="0" borderId="0" xfId="1" applyNumberFormat="1" applyFont="1" applyFill="1" applyBorder="1" applyAlignment="1">
      <alignment horizontal="right" vertical="center" wrapText="1" shrinkToFit="1"/>
    </xf>
    <xf numFmtId="188" fontId="44" fillId="0" borderId="0" xfId="1" applyNumberFormat="1" applyFont="1" applyFill="1" applyBorder="1" applyAlignment="1">
      <alignment vertical="center" wrapText="1" shrinkToFit="1"/>
    </xf>
    <xf numFmtId="188" fontId="44" fillId="0" borderId="0" xfId="1" applyNumberFormat="1" applyFont="1" applyFill="1" applyBorder="1" applyAlignment="1">
      <alignment horizontal="left" vertical="center" wrapText="1" shrinkToFit="1"/>
    </xf>
    <xf numFmtId="188" fontId="44" fillId="0" borderId="0" xfId="1" applyNumberFormat="1" applyFont="1" applyFill="1" applyBorder="1" applyAlignment="1">
      <alignment horizontal="right" vertical="center" wrapText="1" shrinkToFit="1"/>
    </xf>
    <xf numFmtId="0" fontId="52" fillId="0" borderId="0" xfId="1" applyNumberFormat="1" applyFont="1" applyFill="1" applyBorder="1" applyAlignment="1">
      <alignment horizontal="right" vertical="center" wrapText="1" shrinkToFit="1"/>
    </xf>
    <xf numFmtId="0" fontId="51" fillId="0" borderId="0" xfId="0" applyFont="1" applyFill="1" applyBorder="1">
      <alignment vertical="center"/>
    </xf>
    <xf numFmtId="0" fontId="0" fillId="0" borderId="0" xfId="0" applyFont="1" applyFill="1" applyBorder="1">
      <alignment vertical="center"/>
    </xf>
    <xf numFmtId="0" fontId="51" fillId="0" borderId="1" xfId="0" applyFont="1" applyFill="1" applyBorder="1" applyAlignment="1">
      <alignment horizontal="left" vertical="center" wrapText="1"/>
    </xf>
    <xf numFmtId="0" fontId="51" fillId="0" borderId="0" xfId="0" applyFont="1" applyBorder="1" applyAlignment="1">
      <alignment vertical="center" wrapText="1"/>
    </xf>
    <xf numFmtId="0" fontId="0" fillId="0" borderId="0" xfId="0" applyFont="1" applyFill="1" applyBorder="1" applyAlignment="1">
      <alignment horizontal="right" vertical="center"/>
    </xf>
    <xf numFmtId="0" fontId="51" fillId="0" borderId="0" xfId="0" applyFont="1" applyBorder="1" applyAlignment="1">
      <alignment horizontal="left" vertical="center" wrapText="1"/>
    </xf>
    <xf numFmtId="0" fontId="0" fillId="0" borderId="1" xfId="0" applyBorder="1">
      <alignment vertical="center"/>
    </xf>
    <xf numFmtId="0" fontId="0" fillId="0" borderId="7" xfId="0" applyFill="1" applyBorder="1">
      <alignment vertical="center"/>
    </xf>
    <xf numFmtId="0" fontId="0" fillId="0" borderId="0" xfId="0" applyFont="1" applyFill="1">
      <alignment vertical="center"/>
    </xf>
    <xf numFmtId="0" fontId="54" fillId="0" borderId="1" xfId="0" applyFont="1" applyFill="1" applyBorder="1" applyAlignment="1">
      <alignment horizontal="center" vertical="center"/>
    </xf>
    <xf numFmtId="0" fontId="54" fillId="0" borderId="7" xfId="0" applyFont="1" applyFill="1" applyBorder="1" applyAlignment="1">
      <alignment horizontal="center" vertical="center"/>
    </xf>
    <xf numFmtId="0" fontId="55" fillId="0" borderId="1" xfId="0" applyFont="1" applyFill="1" applyBorder="1">
      <alignment vertical="center"/>
    </xf>
    <xf numFmtId="188" fontId="52" fillId="0" borderId="7" xfId="1" applyNumberFormat="1" applyFont="1" applyFill="1" applyBorder="1">
      <alignment vertical="center"/>
    </xf>
    <xf numFmtId="188" fontId="52" fillId="0" borderId="1" xfId="1" applyNumberFormat="1" applyFont="1" applyFill="1" applyBorder="1">
      <alignment vertical="center"/>
    </xf>
    <xf numFmtId="188" fontId="52" fillId="0" borderId="11" xfId="1" applyNumberFormat="1" applyFont="1" applyFill="1" applyBorder="1">
      <alignment vertical="center"/>
    </xf>
    <xf numFmtId="0" fontId="55" fillId="0" borderId="1" xfId="0" applyFont="1" applyFill="1" applyBorder="1" applyAlignment="1">
      <alignment horizontal="left" vertical="center" indent="1"/>
    </xf>
    <xf numFmtId="0" fontId="55" fillId="0" borderId="1" xfId="0" applyFont="1" applyFill="1" applyBorder="1" applyAlignment="1">
      <alignment horizontal="left" vertical="center" indent="2"/>
    </xf>
    <xf numFmtId="0" fontId="30" fillId="0" borderId="1" xfId="0" applyFont="1" applyFill="1" applyBorder="1" applyAlignment="1">
      <alignment horizontal="center" vertical="center"/>
    </xf>
    <xf numFmtId="188" fontId="29" fillId="0" borderId="7" xfId="1" applyNumberFormat="1" applyFont="1" applyFill="1" applyBorder="1">
      <alignment vertical="center"/>
    </xf>
    <xf numFmtId="188" fontId="29" fillId="0" borderId="1" xfId="1" applyNumberFormat="1" applyFont="1" applyFill="1" applyBorder="1">
      <alignment vertical="center"/>
    </xf>
    <xf numFmtId="3" fontId="56" fillId="0" borderId="0" xfId="0" applyNumberFormat="1" applyFont="1" applyAlignment="1">
      <alignment horizontal="justify" vertical="center"/>
    </xf>
    <xf numFmtId="0" fontId="6" fillId="0" borderId="0" xfId="0" applyFont="1" applyFill="1" applyAlignment="1">
      <alignment horizontal="center" vertical="center"/>
    </xf>
    <xf numFmtId="0" fontId="57" fillId="0" borderId="0" xfId="0" applyFont="1" applyFill="1">
      <alignment vertical="center"/>
    </xf>
    <xf numFmtId="0" fontId="58" fillId="0" borderId="0" xfId="0" applyFont="1" applyFill="1">
      <alignment vertical="center"/>
    </xf>
    <xf numFmtId="0" fontId="59" fillId="0" borderId="0" xfId="0" applyFont="1" applyFill="1" applyAlignment="1">
      <alignment horizontal="center" vertical="center"/>
    </xf>
    <xf numFmtId="0" fontId="60" fillId="0" borderId="0" xfId="0" applyFont="1" applyFill="1">
      <alignment vertical="center"/>
    </xf>
    <xf numFmtId="0" fontId="54"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88" fontId="9" fillId="0" borderId="1" xfId="1" applyNumberFormat="1" applyFont="1" applyFill="1" applyBorder="1" applyAlignment="1">
      <alignment horizontal="center" vertical="center"/>
    </xf>
    <xf numFmtId="188" fontId="29" fillId="0" borderId="1" xfId="1" applyNumberFormat="1" applyFont="1" applyFill="1" applyBorder="1" applyAlignment="1">
      <alignment horizontal="center" vertical="center"/>
    </xf>
    <xf numFmtId="194" fontId="9" fillId="0" borderId="1" xfId="1" applyNumberFormat="1" applyFont="1" applyFill="1" applyBorder="1" applyAlignment="1">
      <alignment horizontal="center" vertical="center"/>
    </xf>
    <xf numFmtId="188" fontId="11" fillId="0" borderId="1" xfId="1" applyNumberFormat="1" applyFont="1" applyFill="1" applyBorder="1">
      <alignment vertical="center"/>
    </xf>
    <xf numFmtId="183" fontId="27" fillId="0" borderId="2" xfId="0" applyNumberFormat="1" applyFont="1" applyFill="1" applyBorder="1" applyAlignment="1" applyProtection="1">
      <alignment horizontal="right" vertical="center"/>
    </xf>
    <xf numFmtId="194" fontId="11" fillId="0" borderId="1" xfId="1" applyNumberFormat="1" applyFont="1" applyFill="1" applyBorder="1" applyAlignment="1">
      <alignment horizontal="center" vertical="center"/>
    </xf>
    <xf numFmtId="0" fontId="10" fillId="0" borderId="0" xfId="0" applyFont="1">
      <alignment vertical="center"/>
    </xf>
    <xf numFmtId="0" fontId="12" fillId="0" borderId="0" xfId="0" applyFont="1">
      <alignment vertical="center"/>
    </xf>
    <xf numFmtId="0" fontId="49" fillId="0" borderId="0" xfId="0" applyFont="1">
      <alignment vertical="center"/>
    </xf>
    <xf numFmtId="0" fontId="0" fillId="0" borderId="0" xfId="0" applyAlignment="1">
      <alignment horizontal="right" vertical="center"/>
    </xf>
    <xf numFmtId="0" fontId="61" fillId="0" borderId="0" xfId="0" applyFont="1">
      <alignment vertical="center"/>
    </xf>
    <xf numFmtId="0" fontId="62" fillId="0" borderId="0" xfId="0" applyFont="1" applyAlignment="1">
      <alignment horizontal="center" vertical="center"/>
    </xf>
    <xf numFmtId="0" fontId="63" fillId="0" borderId="0" xfId="0" applyFont="1">
      <alignment vertical="center"/>
    </xf>
    <xf numFmtId="0" fontId="3" fillId="0" borderId="0" xfId="0" applyFont="1" applyAlignment="1">
      <alignment horizontal="right" vertical="center" indent="1"/>
    </xf>
    <xf numFmtId="0" fontId="3" fillId="0" borderId="1" xfId="0" applyFont="1" applyBorder="1">
      <alignment vertical="center"/>
    </xf>
    <xf numFmtId="0" fontId="54" fillId="0" borderId="1" xfId="0" applyFont="1" applyBorder="1" applyAlignment="1">
      <alignment horizontal="center" vertical="center" wrapText="1"/>
    </xf>
    <xf numFmtId="0" fontId="26" fillId="0" borderId="1" xfId="0" applyFont="1" applyBorder="1" applyAlignment="1">
      <alignment horizontal="center" vertical="center" wrapText="1"/>
    </xf>
    <xf numFmtId="188" fontId="9" fillId="0" borderId="1" xfId="1" applyNumberFormat="1" applyFont="1" applyBorder="1">
      <alignment vertical="center"/>
    </xf>
    <xf numFmtId="188" fontId="29" fillId="0" borderId="1" xfId="1" applyNumberFormat="1" applyFont="1" applyBorder="1">
      <alignment vertical="center"/>
    </xf>
    <xf numFmtId="194" fontId="9" fillId="0" borderId="1" xfId="1" applyNumberFormat="1" applyFont="1" applyBorder="1">
      <alignment vertical="center"/>
    </xf>
    <xf numFmtId="188" fontId="11" fillId="0" borderId="1" xfId="1" applyNumberFormat="1" applyFont="1" applyBorder="1">
      <alignment vertical="center"/>
    </xf>
    <xf numFmtId="188" fontId="52" fillId="0" borderId="1" xfId="1" applyNumberFormat="1" applyFont="1" applyBorder="1">
      <alignment vertical="center"/>
    </xf>
    <xf numFmtId="194" fontId="11" fillId="0" borderId="1" xfId="1" applyNumberFormat="1" applyFont="1" applyBorder="1">
      <alignment vertical="center"/>
    </xf>
    <xf numFmtId="0" fontId="12" fillId="0" borderId="1" xfId="0" applyFont="1" applyBorder="1" applyAlignment="1">
      <alignment horizontal="left" vertical="center" indent="1"/>
    </xf>
    <xf numFmtId="188" fontId="64" fillId="0" borderId="1" xfId="0" applyNumberFormat="1" applyFont="1" applyBorder="1">
      <alignment vertical="center"/>
    </xf>
    <xf numFmtId="0" fontId="12" fillId="0" borderId="1" xfId="0" applyFont="1" applyBorder="1" applyAlignment="1">
      <alignment horizontal="left" vertical="center" indent="3"/>
    </xf>
    <xf numFmtId="0" fontId="1" fillId="0" borderId="0" xfId="0" applyFont="1" applyAlignment="1">
      <alignment horizontal="right" vertical="center"/>
    </xf>
    <xf numFmtId="0" fontId="2" fillId="0" borderId="0" xfId="0" applyFont="1" applyAlignment="1">
      <alignment horizontal="right" vertical="center"/>
    </xf>
    <xf numFmtId="0" fontId="4" fillId="0" borderId="0" xfId="0" applyFont="1" applyAlignment="1">
      <alignment horizontal="right" vertical="center"/>
    </xf>
    <xf numFmtId="0" fontId="10" fillId="0" borderId="0" xfId="0" applyFont="1" applyAlignment="1">
      <alignment horizontal="right" vertical="center"/>
    </xf>
    <xf numFmtId="0" fontId="12" fillId="0" borderId="0" xfId="0" applyFont="1" applyAlignment="1">
      <alignment horizontal="right" vertical="center"/>
    </xf>
    <xf numFmtId="0" fontId="12" fillId="0" borderId="0" xfId="0" applyFont="1" applyAlignment="1">
      <alignment horizontal="center" vertical="center"/>
    </xf>
    <xf numFmtId="0" fontId="4" fillId="0" borderId="0" xfId="0" applyFont="1">
      <alignment vertical="center"/>
    </xf>
    <xf numFmtId="0" fontId="63" fillId="0" borderId="0" xfId="0" applyFont="1" applyAlignment="1">
      <alignment horizontal="right" vertical="center"/>
    </xf>
    <xf numFmtId="0" fontId="4" fillId="0" borderId="12" xfId="0" applyFont="1" applyFill="1" applyBorder="1" applyAlignment="1">
      <alignment horizontal="center" vertical="center"/>
    </xf>
    <xf numFmtId="0" fontId="12" fillId="0" borderId="1" xfId="0" applyFont="1" applyFill="1" applyBorder="1">
      <alignment vertical="center"/>
    </xf>
    <xf numFmtId="0" fontId="12" fillId="0" borderId="12" xfId="0" applyFont="1" applyFill="1" applyBorder="1">
      <alignment vertical="center"/>
    </xf>
    <xf numFmtId="0" fontId="12" fillId="0" borderId="9" xfId="0" applyFont="1" applyFill="1" applyBorder="1">
      <alignment vertical="center"/>
    </xf>
    <xf numFmtId="188" fontId="64" fillId="0" borderId="1" xfId="52" applyNumberFormat="1" applyFont="1" applyFill="1" applyBorder="1" applyAlignment="1">
      <alignment vertical="center"/>
    </xf>
    <xf numFmtId="0" fontId="12" fillId="0" borderId="13" xfId="0" applyFont="1" applyFill="1" applyBorder="1">
      <alignment vertical="center"/>
    </xf>
    <xf numFmtId="188" fontId="52" fillId="0" borderId="9" xfId="1" applyNumberFormat="1" applyFont="1" applyFill="1" applyBorder="1">
      <alignment vertical="center"/>
    </xf>
    <xf numFmtId="0" fontId="12" fillId="0" borderId="12" xfId="0" applyFont="1" applyFill="1" applyBorder="1" applyAlignment="1">
      <alignment horizontal="left" vertical="center" indent="1"/>
    </xf>
    <xf numFmtId="0" fontId="12" fillId="0" borderId="12" xfId="0" applyFont="1" applyFill="1" applyBorder="1" applyAlignment="1">
      <alignment horizontal="left" vertical="center" indent="3"/>
    </xf>
    <xf numFmtId="0" fontId="10" fillId="0" borderId="1" xfId="0" applyFont="1" applyFill="1" applyBorder="1" applyAlignment="1">
      <alignment horizontal="center" vertical="center"/>
    </xf>
    <xf numFmtId="188" fontId="9" fillId="0" borderId="1" xfId="1" applyNumberFormat="1" applyFont="1" applyFill="1" applyBorder="1">
      <alignment vertical="center"/>
    </xf>
    <xf numFmtId="0" fontId="10" fillId="0" borderId="12" xfId="0" applyFont="1" applyFill="1" applyBorder="1" applyAlignment="1">
      <alignment horizontal="center" vertical="center"/>
    </xf>
    <xf numFmtId="188" fontId="49" fillId="0" borderId="0" xfId="0" applyNumberFormat="1" applyFont="1">
      <alignment vertical="center"/>
    </xf>
    <xf numFmtId="0" fontId="6" fillId="0" borderId="1" xfId="0" applyFont="1" applyBorder="1" applyAlignment="1">
      <alignment horizontal="center" vertical="center"/>
    </xf>
    <xf numFmtId="181" fontId="65" fillId="0" borderId="1" xfId="0" applyNumberFormat="1" applyFont="1" applyBorder="1" applyAlignment="1">
      <alignment horizontal="right" vertical="center"/>
    </xf>
    <xf numFmtId="188" fontId="29" fillId="0" borderId="1" xfId="1" applyNumberFormat="1" applyFont="1" applyBorder="1" applyAlignment="1">
      <alignment horizontal="center" vertical="center"/>
    </xf>
    <xf numFmtId="194" fontId="9" fillId="0" borderId="1" xfId="1" applyNumberFormat="1" applyFont="1" applyBorder="1" applyAlignment="1">
      <alignment horizontal="center" vertical="center"/>
    </xf>
    <xf numFmtId="181" fontId="66" fillId="0" borderId="1" xfId="0" applyNumberFormat="1" applyFont="1" applyBorder="1" applyAlignment="1">
      <alignment horizontal="right" vertical="center"/>
    </xf>
    <xf numFmtId="181" fontId="64" fillId="0" borderId="1" xfId="0" applyNumberFormat="1" applyFont="1" applyFill="1" applyBorder="1" applyAlignment="1">
      <alignment horizontal="right" vertical="center"/>
    </xf>
    <xf numFmtId="188" fontId="11" fillId="0" borderId="1" xfId="1" applyNumberFormat="1" applyFont="1" applyFill="1" applyBorder="1" applyAlignment="1">
      <alignment vertical="center"/>
    </xf>
    <xf numFmtId="188" fontId="67" fillId="0" borderId="1" xfId="53" applyNumberFormat="1" applyFont="1" applyFill="1" applyBorder="1" applyAlignment="1">
      <alignment horizontal="center" vertical="center"/>
    </xf>
    <xf numFmtId="188" fontId="64" fillId="0" borderId="1" xfId="53" applyNumberFormat="1" applyFont="1" applyFill="1" applyBorder="1" applyAlignment="1">
      <alignment vertical="center"/>
    </xf>
    <xf numFmtId="188" fontId="52" fillId="0" borderId="1" xfId="53" applyNumberFormat="1" applyFont="1" applyBorder="1">
      <alignment vertical="center"/>
    </xf>
    <xf numFmtId="0" fontId="68" fillId="0" borderId="0" xfId="0" applyFont="1" applyAlignment="1">
      <alignment horizontal="center" vertical="center"/>
    </xf>
    <xf numFmtId="0" fontId="69" fillId="0" borderId="0" xfId="0" applyFont="1" applyAlignment="1">
      <alignment horizontal="center" vertical="center"/>
    </xf>
    <xf numFmtId="0" fontId="69" fillId="0" borderId="0" xfId="0" applyFont="1">
      <alignment vertical="center"/>
    </xf>
    <xf numFmtId="0" fontId="68" fillId="0" borderId="1" xfId="0" applyFont="1" applyBorder="1" applyAlignment="1">
      <alignment horizontal="center" vertical="center"/>
    </xf>
    <xf numFmtId="0" fontId="69" fillId="0" borderId="1" xfId="0" applyFont="1" applyBorder="1" applyAlignment="1">
      <alignment horizontal="center" vertical="center"/>
    </xf>
    <xf numFmtId="0" fontId="69" fillId="0" borderId="1" xfId="0" applyFont="1" applyBorder="1">
      <alignment vertical="center"/>
    </xf>
    <xf numFmtId="49" fontId="47" fillId="0" borderId="5" xfId="1" applyNumberFormat="1" applyFont="1" applyFill="1" applyBorder="1" applyAlignment="1" applyProtection="1" quotePrefix="1">
      <alignment horizontal="center" vertical="center"/>
    </xf>
    <xf numFmtId="49" fontId="13" fillId="0" borderId="2" xfId="0" applyNumberFormat="1" applyFont="1" applyFill="1" applyBorder="1" applyAlignment="1" applyProtection="1" quotePrefix="1">
      <alignment horizontal="center" vertical="center"/>
    </xf>
    <xf numFmtId="49" fontId="41" fillId="0" borderId="2" xfId="0" applyNumberFormat="1" applyFont="1" applyFill="1" applyBorder="1" applyAlignment="1" applyProtection="1" quotePrefix="1">
      <alignment horizontal="center" vertical="center"/>
    </xf>
    <xf numFmtId="49" fontId="31" fillId="0" borderId="5" xfId="1" applyNumberFormat="1" applyFont="1" applyFill="1" applyBorder="1" applyAlignment="1" applyProtection="1" quotePrefix="1">
      <alignment horizontal="center" vertical="center"/>
    </xf>
    <xf numFmtId="49" fontId="23" fillId="0" borderId="2" xfId="49" applyNumberFormat="1" applyFont="1" applyFill="1" applyBorder="1" applyAlignment="1" quotePrefix="1">
      <alignment horizontal="center" vertical="center"/>
    </xf>
    <xf numFmtId="49" fontId="23" fillId="0" borderId="1" xfId="49" applyNumberFormat="1" applyFont="1" applyFill="1" applyBorder="1" applyAlignment="1" quotePrefix="1">
      <alignment horizontal="center" vertical="center"/>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1" xfId="49"/>
    <cellStyle name="常规 2" xfId="50"/>
    <cellStyle name="常规 2 2 2" xfId="51"/>
    <cellStyle name="千位分隔 2" xfId="52"/>
    <cellStyle name="千位分隔 3" xfId="53"/>
    <cellStyle name="常规 3"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externalLink" Target="externalLinks/externalLink4.xml"/><Relationship Id="rId24" Type="http://schemas.openxmlformats.org/officeDocument/2006/relationships/externalLink" Target="externalLinks/externalLink3.xml"/><Relationship Id="rId23" Type="http://schemas.openxmlformats.org/officeDocument/2006/relationships/externalLink" Target="externalLinks/externalLink2.xml"/><Relationship Id="rId22" Type="http://schemas.openxmlformats.org/officeDocument/2006/relationships/externalLink" Target="externalLinks/externalLink1.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4&#24180;&#24037;&#20316;\2023&#24180;&#39044;&#31639;&#25191;&#34892;&#24773;&#20917;&#21450;2024&#24180;&#39044;&#31639;&#33609;&#26696;\&#38468;&#34920;\33-2024&#24180;&#22269;&#26377;&#36164;&#26412;&#32463;&#33829;&#39044;&#31639;&#33609;&#26696;&#65288;12.9&#20462;&#2591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4&#24180;&#24037;&#20316;\2023&#24180;&#39044;&#31639;&#25191;&#34892;&#24773;&#20917;&#21450;2024&#24180;&#39044;&#31639;&#33609;&#26696;\&#38468;&#34920;\33-2024&#24180;&#22269;&#26377;&#36164;&#26412;&#32463;&#33829;&#39044;&#31639;&#33609;&#26696;&#65288;2023.12.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4&#24180;&#24037;&#20316;\2023&#24180;&#39044;&#31639;&#25191;&#34892;&#24773;&#20917;&#21450;2024&#24180;&#39044;&#31639;&#33609;&#26696;\&#38468;&#34920;\23-2024&#24180;&#25919;&#24220;&#24615;&#22522;&#37329;&#39044;&#31639;&#33609;&#2669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TS01\jhc\unzipped\Eastern%20Airline%20FE\Spares\FILES\SMCTS2\SMCTSSP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目录"/>
      <sheetName val="表1"/>
      <sheetName val="表2"/>
      <sheetName val="表3"/>
      <sheetName val="Sheet1"/>
    </sheetNames>
    <sheetDataSet>
      <sheetData sheetId="0"/>
      <sheetData sheetId="1"/>
      <sheetData sheetId="2"/>
      <sheetData sheetId="3">
        <row r="13">
          <cell r="H13">
            <v>2745</v>
          </cell>
        </row>
      </sheetData>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录"/>
      <sheetName val="表1"/>
      <sheetName val="表2"/>
      <sheetName val="表3"/>
      <sheetName val="Sheet1"/>
    </sheetNames>
    <sheetDataSet>
      <sheetData sheetId="0"/>
      <sheetData sheetId="1"/>
      <sheetData sheetId="2"/>
      <sheetData sheetId="3">
        <row r="13">
          <cell r="G13">
            <v>1532</v>
          </cell>
        </row>
      </sheetData>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目录"/>
      <sheetName val="表1"/>
      <sheetName val="表2"/>
      <sheetName val="表3"/>
      <sheetName val="表3-原表"/>
      <sheetName val="表4"/>
      <sheetName val="表5"/>
      <sheetName val="表6"/>
      <sheetName val="表7"/>
      <sheetName val="2023还本付息"/>
      <sheetName val="年终结余 (2)"/>
      <sheetName val="年终结余 (3)"/>
    </sheetNames>
    <sheetDataSet>
      <sheetData sheetId="0"/>
      <sheetData sheetId="1"/>
      <sheetData sheetId="2"/>
      <sheetData sheetId="3">
        <row r="23">
          <cell r="G23">
            <v>16384</v>
          </cell>
          <cell r="H23">
            <v>96391</v>
          </cell>
        </row>
      </sheetData>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qpmad2"/>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0.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2"/>
  <sheetViews>
    <sheetView view="pageBreakPreview" zoomScaleNormal="100" workbookViewId="0">
      <selection activeCell="C14" sqref="C14"/>
    </sheetView>
  </sheetViews>
  <sheetFormatPr defaultColWidth="9" defaultRowHeight="15" outlineLevelCol="2"/>
  <cols>
    <col min="1" max="1" width="8.375" style="385" customWidth="1"/>
    <col min="2" max="2" width="57.125" style="386" customWidth="1"/>
    <col min="3" max="16384" width="9" style="386"/>
  </cols>
  <sheetData>
    <row r="1" ht="20.1" customHeight="1" spans="1:3">
      <c r="A1" s="384" t="s">
        <v>0</v>
      </c>
      <c r="B1" s="384"/>
      <c r="C1" s="384"/>
    </row>
    <row r="2" s="384" customFormat="1" ht="20.1" customHeight="1" spans="1:3">
      <c r="A2" s="387" t="s">
        <v>1</v>
      </c>
      <c r="B2" s="387" t="s">
        <v>2</v>
      </c>
      <c r="C2" s="387" t="s">
        <v>3</v>
      </c>
    </row>
    <row r="3" ht="20.1" customHeight="1" spans="1:3">
      <c r="A3" s="388" t="s">
        <v>4</v>
      </c>
      <c r="B3" s="389" t="s">
        <v>5</v>
      </c>
      <c r="C3" s="389"/>
    </row>
    <row r="4" ht="20.1" customHeight="1" spans="1:3">
      <c r="A4" s="388" t="s">
        <v>6</v>
      </c>
      <c r="B4" s="389" t="s">
        <v>7</v>
      </c>
      <c r="C4" s="389"/>
    </row>
    <row r="5" ht="20.1" customHeight="1" spans="1:3">
      <c r="A5" s="388" t="s">
        <v>8</v>
      </c>
      <c r="B5" s="389" t="s">
        <v>9</v>
      </c>
      <c r="C5" s="389"/>
    </row>
    <row r="6" ht="20.1" customHeight="1" spans="1:3">
      <c r="A6" s="388" t="s">
        <v>10</v>
      </c>
      <c r="B6" s="389" t="s">
        <v>11</v>
      </c>
      <c r="C6" s="389"/>
    </row>
    <row r="7" ht="20.1" customHeight="1" spans="1:3">
      <c r="A7" s="388" t="s">
        <v>12</v>
      </c>
      <c r="B7" s="389" t="s">
        <v>13</v>
      </c>
      <c r="C7" s="389"/>
    </row>
    <row r="8" ht="20.1" customHeight="1" spans="1:3">
      <c r="A8" s="388" t="s">
        <v>14</v>
      </c>
      <c r="B8" s="389" t="s">
        <v>15</v>
      </c>
      <c r="C8" s="389"/>
    </row>
    <row r="9" ht="20.1" customHeight="1" spans="1:3">
      <c r="A9" s="388" t="s">
        <v>16</v>
      </c>
      <c r="B9" s="389" t="s">
        <v>17</v>
      </c>
      <c r="C9" s="389"/>
    </row>
    <row r="10" ht="20.1" customHeight="1" spans="1:3">
      <c r="A10" s="388" t="s">
        <v>18</v>
      </c>
      <c r="B10" s="389" t="s">
        <v>19</v>
      </c>
      <c r="C10" s="389"/>
    </row>
    <row r="11" ht="20.1" customHeight="1" spans="1:3">
      <c r="A11" s="388" t="s">
        <v>20</v>
      </c>
      <c r="B11" s="389" t="s">
        <v>21</v>
      </c>
      <c r="C11" s="389"/>
    </row>
    <row r="12" ht="20.1" customHeight="1" spans="1:3">
      <c r="A12" s="388" t="s">
        <v>22</v>
      </c>
      <c r="B12" s="389" t="s">
        <v>23</v>
      </c>
      <c r="C12" s="389"/>
    </row>
    <row r="13" ht="20.1" customHeight="1" spans="1:3">
      <c r="A13" s="388" t="s">
        <v>24</v>
      </c>
      <c r="B13" s="389" t="s">
        <v>25</v>
      </c>
      <c r="C13" s="389"/>
    </row>
    <row r="14" ht="20.1" customHeight="1" spans="1:3">
      <c r="A14" s="388" t="s">
        <v>26</v>
      </c>
      <c r="B14" s="389" t="s">
        <v>27</v>
      </c>
      <c r="C14" s="389"/>
    </row>
    <row r="15" ht="20.1" customHeight="1" spans="1:3">
      <c r="A15" s="388" t="s">
        <v>28</v>
      </c>
      <c r="B15" s="389" t="s">
        <v>29</v>
      </c>
      <c r="C15" s="389"/>
    </row>
    <row r="16" ht="20.1" customHeight="1" spans="1:3">
      <c r="A16" s="388" t="s">
        <v>30</v>
      </c>
      <c r="B16" s="389" t="s">
        <v>31</v>
      </c>
      <c r="C16" s="389"/>
    </row>
    <row r="17" ht="20.1" customHeight="1" spans="1:3">
      <c r="A17" s="388" t="s">
        <v>32</v>
      </c>
      <c r="B17" s="389" t="s">
        <v>33</v>
      </c>
      <c r="C17" s="389"/>
    </row>
    <row r="18" ht="20.1" customHeight="1" spans="1:3">
      <c r="A18" s="388" t="s">
        <v>34</v>
      </c>
      <c r="B18" s="389" t="s">
        <v>35</v>
      </c>
      <c r="C18" s="389"/>
    </row>
    <row r="19" ht="20.1" customHeight="1" spans="1:3">
      <c r="A19" s="388" t="s">
        <v>36</v>
      </c>
      <c r="B19" s="389" t="s">
        <v>37</v>
      </c>
      <c r="C19" s="389"/>
    </row>
    <row r="20" ht="20.1" customHeight="1" spans="1:3">
      <c r="A20" s="388" t="s">
        <v>38</v>
      </c>
      <c r="B20" s="389" t="s">
        <v>39</v>
      </c>
      <c r="C20" s="389"/>
    </row>
    <row r="21" ht="20.1" customHeight="1" spans="1:3">
      <c r="A21" s="388" t="s">
        <v>40</v>
      </c>
      <c r="B21" s="389" t="s">
        <v>41</v>
      </c>
      <c r="C21" s="389"/>
    </row>
    <row r="22" ht="20.1" customHeight="1" spans="1:3">
      <c r="A22" s="388" t="s">
        <v>42</v>
      </c>
      <c r="B22" s="389" t="s">
        <v>43</v>
      </c>
      <c r="C22" s="389"/>
    </row>
  </sheetData>
  <mergeCells count="1">
    <mergeCell ref="A1:C1"/>
  </mergeCells>
  <pageMargins left="0.699305555555556" right="0.699305555555556"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M326"/>
  <sheetViews>
    <sheetView view="pageBreakPreview" zoomScaleNormal="100" workbookViewId="0">
      <pane xSplit="1" ySplit="5" topLeftCell="B14" activePane="bottomRight" state="frozen"/>
      <selection/>
      <selection pane="topRight"/>
      <selection pane="bottomLeft"/>
      <selection pane="bottomRight" activeCell="D114" sqref="D114"/>
    </sheetView>
  </sheetViews>
  <sheetFormatPr defaultColWidth="9" defaultRowHeight="14.25"/>
  <cols>
    <col min="1" max="1" width="46.525" style="162" customWidth="1"/>
    <col min="2" max="3" width="11.625" style="162" hidden="1" customWidth="1"/>
    <col min="4" max="4" width="11.625" style="162" customWidth="1"/>
    <col min="5" max="6" width="9.625" style="162" customWidth="1"/>
    <col min="7" max="7" width="12.875" style="162" customWidth="1"/>
    <col min="8" max="8" width="18.25" style="267" hidden="1" customWidth="1"/>
    <col min="9" max="9" width="18.4666666666667" style="268" hidden="1" customWidth="1"/>
    <col min="10" max="10" width="9" style="268" hidden="1" customWidth="1"/>
    <col min="11" max="11" width="11.625" style="268" hidden="1" customWidth="1"/>
    <col min="12" max="13" width="9" style="268" hidden="1" customWidth="1"/>
    <col min="14" max="16384" width="9" style="162"/>
  </cols>
  <sheetData>
    <row r="1" s="157" customFormat="1" ht="20.1" customHeight="1" spans="1:13">
      <c r="A1" s="157" t="s">
        <v>20</v>
      </c>
      <c r="H1" s="269"/>
      <c r="I1" s="286"/>
      <c r="J1" s="286"/>
      <c r="K1" s="286"/>
      <c r="L1" s="286"/>
      <c r="M1" s="286"/>
    </row>
    <row r="2" s="158" customFormat="1" ht="39.95" customHeight="1" spans="1:13">
      <c r="A2" s="195" t="s">
        <v>173</v>
      </c>
      <c r="B2" s="195"/>
      <c r="C2" s="195"/>
      <c r="D2" s="195"/>
      <c r="E2" s="195"/>
      <c r="F2" s="195"/>
      <c r="G2" s="195"/>
      <c r="H2" s="270"/>
      <c r="I2" s="287"/>
      <c r="J2" s="287"/>
      <c r="K2" s="287"/>
      <c r="L2" s="287"/>
      <c r="M2" s="287"/>
    </row>
    <row r="3" s="159" customFormat="1" ht="15" spans="7:13">
      <c r="G3" s="271" t="s">
        <v>45</v>
      </c>
      <c r="H3" s="272"/>
      <c r="I3" s="288"/>
      <c r="J3" s="288"/>
      <c r="K3" s="288"/>
      <c r="L3" s="288"/>
      <c r="M3" s="288"/>
    </row>
    <row r="4" s="259" customFormat="1" ht="35.1" customHeight="1" spans="1:13">
      <c r="A4" s="260" t="s">
        <v>174</v>
      </c>
      <c r="B4" s="261" t="s">
        <v>48</v>
      </c>
      <c r="C4" s="261" t="s">
        <v>49</v>
      </c>
      <c r="D4" s="261" t="s">
        <v>175</v>
      </c>
      <c r="E4" s="261" t="s">
        <v>176</v>
      </c>
      <c r="F4" s="261" t="s">
        <v>177</v>
      </c>
      <c r="G4" s="260" t="s">
        <v>3</v>
      </c>
      <c r="H4" s="273" t="s">
        <v>178</v>
      </c>
      <c r="I4" s="289" t="s">
        <v>179</v>
      </c>
      <c r="J4" s="289" t="s">
        <v>180</v>
      </c>
      <c r="K4" s="289" t="s">
        <v>181</v>
      </c>
      <c r="L4" s="289" t="s">
        <v>182</v>
      </c>
      <c r="M4" s="289" t="s">
        <v>182</v>
      </c>
    </row>
    <row r="5" ht="22" customHeight="1" spans="1:13">
      <c r="A5" s="274" t="s">
        <v>183</v>
      </c>
      <c r="B5" s="275">
        <f t="shared" ref="B5:F5" si="0">SUM(B6,B12,B270)</f>
        <v>299458</v>
      </c>
      <c r="C5" s="275">
        <f t="shared" si="0"/>
        <v>299458</v>
      </c>
      <c r="D5" s="275">
        <f t="shared" si="0"/>
        <v>205666</v>
      </c>
      <c r="E5" s="275">
        <f t="shared" si="0"/>
        <v>134107</v>
      </c>
      <c r="F5" s="275">
        <f t="shared" si="0"/>
        <v>71559</v>
      </c>
      <c r="G5" s="276"/>
      <c r="J5" s="290">
        <f>SUM(J6,J12,J270)</f>
        <v>81918</v>
      </c>
      <c r="K5" s="290"/>
      <c r="L5" s="290"/>
      <c r="M5" s="291"/>
    </row>
    <row r="6" s="161" customFormat="1" ht="22" customHeight="1" spans="1:13">
      <c r="A6" s="277" t="s">
        <v>184</v>
      </c>
      <c r="B6" s="278">
        <f>SUM(B7:B11)</f>
        <v>2685</v>
      </c>
      <c r="C6" s="278">
        <f>SUM(C7:C11)</f>
        <v>2685</v>
      </c>
      <c r="D6" s="278">
        <f>SUM(D7:D11)</f>
        <v>2685</v>
      </c>
      <c r="E6" s="278">
        <f>SUM(E7:E11)</f>
        <v>2685</v>
      </c>
      <c r="F6" s="278"/>
      <c r="G6" s="279"/>
      <c r="H6" s="280"/>
      <c r="I6" s="292"/>
      <c r="J6" s="293">
        <f>SUM(J7:J11)</f>
        <v>2685</v>
      </c>
      <c r="K6" s="293"/>
      <c r="L6" s="293"/>
      <c r="M6" s="294"/>
    </row>
    <row r="7" ht="22" customHeight="1" outlineLevel="1" spans="1:13">
      <c r="A7" s="281" t="s">
        <v>185</v>
      </c>
      <c r="B7" s="282">
        <v>10520</v>
      </c>
      <c r="C7" s="282">
        <v>10520</v>
      </c>
      <c r="D7" s="282">
        <v>10520</v>
      </c>
      <c r="E7" s="282">
        <f t="shared" ref="E7:E11" si="1">D7</f>
        <v>10520</v>
      </c>
      <c r="F7" s="282"/>
      <c r="G7" s="283"/>
      <c r="H7" s="280" t="s">
        <v>186</v>
      </c>
      <c r="I7" s="295" t="s">
        <v>187</v>
      </c>
      <c r="J7" s="290">
        <v>10520</v>
      </c>
      <c r="K7" s="290"/>
      <c r="L7" s="290"/>
      <c r="M7" s="291"/>
    </row>
    <row r="8" ht="22" customHeight="1" outlineLevel="1" spans="1:13">
      <c r="A8" s="281" t="s">
        <v>188</v>
      </c>
      <c r="B8" s="282">
        <v>2571</v>
      </c>
      <c r="C8" s="282">
        <v>2571</v>
      </c>
      <c r="D8" s="282">
        <v>2571</v>
      </c>
      <c r="E8" s="282">
        <f t="shared" si="1"/>
        <v>2571</v>
      </c>
      <c r="F8" s="282"/>
      <c r="G8" s="283"/>
      <c r="H8" s="280" t="s">
        <v>186</v>
      </c>
      <c r="I8" s="295" t="s">
        <v>187</v>
      </c>
      <c r="J8" s="290">
        <v>2571</v>
      </c>
      <c r="K8" s="290"/>
      <c r="L8" s="290"/>
      <c r="M8" s="291"/>
    </row>
    <row r="9" ht="22" customHeight="1" outlineLevel="1" spans="1:13">
      <c r="A9" s="281" t="s">
        <v>189</v>
      </c>
      <c r="B9" s="282">
        <v>-13669</v>
      </c>
      <c r="C9" s="282">
        <v>-13669</v>
      </c>
      <c r="D9" s="282">
        <v>-13669</v>
      </c>
      <c r="E9" s="282">
        <f t="shared" si="1"/>
        <v>-13669</v>
      </c>
      <c r="F9" s="282"/>
      <c r="G9" s="283"/>
      <c r="H9" s="280" t="s">
        <v>186</v>
      </c>
      <c r="I9" s="295" t="s">
        <v>187</v>
      </c>
      <c r="J9" s="290">
        <v>-13669</v>
      </c>
      <c r="K9" s="290"/>
      <c r="L9" s="290"/>
      <c r="M9" s="291"/>
    </row>
    <row r="10" ht="22" customHeight="1" outlineLevel="1" spans="1:13">
      <c r="A10" s="281" t="s">
        <v>190</v>
      </c>
      <c r="B10" s="282">
        <v>1992</v>
      </c>
      <c r="C10" s="282">
        <v>1992</v>
      </c>
      <c r="D10" s="282">
        <v>1992</v>
      </c>
      <c r="E10" s="282">
        <f t="shared" si="1"/>
        <v>1992</v>
      </c>
      <c r="F10" s="282"/>
      <c r="G10" s="283"/>
      <c r="H10" s="280" t="s">
        <v>186</v>
      </c>
      <c r="I10" s="295" t="s">
        <v>187</v>
      </c>
      <c r="J10" s="290">
        <v>1992</v>
      </c>
      <c r="K10" s="290"/>
      <c r="L10" s="290"/>
      <c r="M10" s="291"/>
    </row>
    <row r="11" ht="22" customHeight="1" outlineLevel="1" spans="1:13">
      <c r="A11" s="281" t="s">
        <v>191</v>
      </c>
      <c r="B11" s="282">
        <v>1271</v>
      </c>
      <c r="C11" s="282">
        <v>1271</v>
      </c>
      <c r="D11" s="282">
        <v>1271</v>
      </c>
      <c r="E11" s="282">
        <f t="shared" si="1"/>
        <v>1271</v>
      </c>
      <c r="F11" s="282"/>
      <c r="G11" s="283"/>
      <c r="H11" s="280" t="s">
        <v>186</v>
      </c>
      <c r="I11" s="295" t="s">
        <v>187</v>
      </c>
      <c r="J11" s="290">
        <v>1271</v>
      </c>
      <c r="K11" s="290"/>
      <c r="L11" s="290"/>
      <c r="M11" s="291"/>
    </row>
    <row r="12" s="161" customFormat="1" ht="22" customHeight="1" spans="1:13">
      <c r="A12" s="277" t="s">
        <v>192</v>
      </c>
      <c r="B12" s="278">
        <f t="shared" ref="B12:F12" si="2">SUM(B13,B14,B35,B50,B74,B76,B78,B80,B114,B116,B118,B124,B139,B142,B151,B176,B199,B202,B234,B249,B256,B258,B263,B265,B268)</f>
        <v>267455</v>
      </c>
      <c r="C12" s="278">
        <f t="shared" si="2"/>
        <v>267455</v>
      </c>
      <c r="D12" s="278">
        <f t="shared" si="2"/>
        <v>198923</v>
      </c>
      <c r="E12" s="278">
        <f t="shared" si="2"/>
        <v>131422</v>
      </c>
      <c r="F12" s="278">
        <f t="shared" si="2"/>
        <v>67501</v>
      </c>
      <c r="G12" s="278"/>
      <c r="H12" s="280"/>
      <c r="I12" s="292"/>
      <c r="J12" s="293">
        <f>SUM(J13,J14,J35,J50,J74,J76,J78,J80)</f>
        <v>79233</v>
      </c>
      <c r="K12" s="293"/>
      <c r="L12" s="293"/>
      <c r="M12" s="294"/>
    </row>
    <row r="13" ht="22" customHeight="1" outlineLevel="1" spans="1:13">
      <c r="A13" s="281" t="s">
        <v>193</v>
      </c>
      <c r="B13" s="282"/>
      <c r="C13" s="282"/>
      <c r="D13" s="282"/>
      <c r="E13" s="282"/>
      <c r="F13" s="282"/>
      <c r="G13" s="276"/>
      <c r="H13" s="280"/>
      <c r="J13" s="290"/>
      <c r="K13" s="290"/>
      <c r="L13" s="290"/>
      <c r="M13" s="291"/>
    </row>
    <row r="14" ht="22" customHeight="1" outlineLevel="1" collapsed="1" spans="1:13">
      <c r="A14" s="281" t="s">
        <v>194</v>
      </c>
      <c r="B14" s="282">
        <f>SUM(B15:B32)</f>
        <v>21371</v>
      </c>
      <c r="C14" s="282">
        <f>SUM(C15:C32)</f>
        <v>21371</v>
      </c>
      <c r="D14" s="282">
        <f>SUM(D15:D32)</f>
        <v>16855</v>
      </c>
      <c r="E14" s="282">
        <f>SUM(E15:E32)</f>
        <v>16855</v>
      </c>
      <c r="F14" s="282"/>
      <c r="G14" s="276"/>
      <c r="H14" s="280"/>
      <c r="J14" s="290">
        <f>SUM(J28:J32)</f>
        <v>16855</v>
      </c>
      <c r="K14" s="290"/>
      <c r="L14" s="290"/>
      <c r="M14" s="291"/>
    </row>
    <row r="15" ht="22" hidden="1" customHeight="1" outlineLevel="2" spans="1:13">
      <c r="A15" s="281" t="s">
        <v>195</v>
      </c>
      <c r="B15" s="282">
        <v>20</v>
      </c>
      <c r="C15" s="282">
        <v>20</v>
      </c>
      <c r="D15" s="282"/>
      <c r="E15" s="282"/>
      <c r="F15" s="282"/>
      <c r="G15" s="276"/>
      <c r="H15" s="280"/>
      <c r="J15" s="290"/>
      <c r="K15" s="290"/>
      <c r="L15" s="290"/>
      <c r="M15" s="291"/>
    </row>
    <row r="16" ht="22" hidden="1" customHeight="1" outlineLevel="2" spans="1:13">
      <c r="A16" s="281" t="s">
        <v>196</v>
      </c>
      <c r="B16" s="282">
        <v>227</v>
      </c>
      <c r="C16" s="282">
        <v>227</v>
      </c>
      <c r="D16" s="282"/>
      <c r="E16" s="282"/>
      <c r="F16" s="282"/>
      <c r="G16" s="276"/>
      <c r="H16" s="280"/>
      <c r="J16" s="290"/>
      <c r="K16" s="290"/>
      <c r="L16" s="290"/>
      <c r="M16" s="291"/>
    </row>
    <row r="17" ht="22" hidden="1" customHeight="1" outlineLevel="2" spans="1:13">
      <c r="A17" s="281" t="s">
        <v>197</v>
      </c>
      <c r="B17" s="282">
        <v>-160</v>
      </c>
      <c r="C17" s="282">
        <v>-160</v>
      </c>
      <c r="D17" s="282"/>
      <c r="E17" s="282"/>
      <c r="F17" s="282"/>
      <c r="G17" s="276"/>
      <c r="H17" s="280"/>
      <c r="J17" s="290"/>
      <c r="K17" s="290"/>
      <c r="L17" s="290"/>
      <c r="M17" s="291"/>
    </row>
    <row r="18" ht="22" hidden="1" customHeight="1" outlineLevel="2" spans="1:13">
      <c r="A18" s="281" t="s">
        <v>198</v>
      </c>
      <c r="B18" s="282">
        <v>63</v>
      </c>
      <c r="C18" s="282">
        <v>63</v>
      </c>
      <c r="D18" s="282"/>
      <c r="E18" s="282"/>
      <c r="F18" s="282"/>
      <c r="G18" s="276"/>
      <c r="H18" s="280"/>
      <c r="J18" s="290"/>
      <c r="K18" s="290"/>
      <c r="L18" s="290"/>
      <c r="M18" s="291"/>
    </row>
    <row r="19" ht="22" hidden="1" customHeight="1" outlineLevel="2" spans="1:13">
      <c r="A19" s="281" t="s">
        <v>199</v>
      </c>
      <c r="B19" s="282">
        <v>33</v>
      </c>
      <c r="C19" s="282">
        <v>33</v>
      </c>
      <c r="D19" s="282"/>
      <c r="E19" s="282"/>
      <c r="F19" s="282"/>
      <c r="G19" s="276"/>
      <c r="H19" s="280"/>
      <c r="J19" s="290"/>
      <c r="K19" s="290"/>
      <c r="L19" s="290"/>
      <c r="M19" s="291"/>
    </row>
    <row r="20" ht="22" hidden="1" customHeight="1" outlineLevel="2" spans="1:13">
      <c r="A20" s="281" t="s">
        <v>200</v>
      </c>
      <c r="B20" s="282">
        <v>30</v>
      </c>
      <c r="C20" s="282">
        <v>30</v>
      </c>
      <c r="D20" s="282"/>
      <c r="E20" s="282"/>
      <c r="F20" s="282"/>
      <c r="G20" s="276"/>
      <c r="H20" s="280"/>
      <c r="J20" s="290"/>
      <c r="K20" s="290"/>
      <c r="L20" s="290"/>
      <c r="M20" s="291"/>
    </row>
    <row r="21" ht="22" hidden="1" customHeight="1" outlineLevel="2" spans="1:13">
      <c r="A21" s="281" t="s">
        <v>195</v>
      </c>
      <c r="B21" s="282">
        <v>992</v>
      </c>
      <c r="C21" s="282">
        <v>992</v>
      </c>
      <c r="D21" s="282"/>
      <c r="E21" s="282"/>
      <c r="F21" s="282"/>
      <c r="G21" s="276"/>
      <c r="H21" s="280"/>
      <c r="J21" s="290"/>
      <c r="K21" s="290"/>
      <c r="L21" s="290"/>
      <c r="M21" s="291"/>
    </row>
    <row r="22" ht="22" hidden="1" customHeight="1" outlineLevel="2" spans="1:13">
      <c r="A22" s="281" t="s">
        <v>201</v>
      </c>
      <c r="B22" s="282">
        <v>900</v>
      </c>
      <c r="C22" s="282">
        <v>900</v>
      </c>
      <c r="D22" s="282"/>
      <c r="E22" s="282"/>
      <c r="F22" s="282"/>
      <c r="G22" s="276"/>
      <c r="H22" s="280"/>
      <c r="J22" s="290"/>
      <c r="K22" s="290"/>
      <c r="L22" s="290"/>
      <c r="M22" s="291"/>
    </row>
    <row r="23" ht="22" hidden="1" customHeight="1" outlineLevel="2" spans="1:13">
      <c r="A23" s="281" t="s">
        <v>202</v>
      </c>
      <c r="B23" s="282">
        <v>90</v>
      </c>
      <c r="C23" s="282">
        <v>90</v>
      </c>
      <c r="D23" s="282"/>
      <c r="E23" s="282"/>
      <c r="F23" s="282"/>
      <c r="G23" s="276"/>
      <c r="H23" s="280"/>
      <c r="J23" s="290"/>
      <c r="K23" s="290"/>
      <c r="L23" s="290"/>
      <c r="M23" s="291"/>
    </row>
    <row r="24" ht="22" hidden="1" customHeight="1" outlineLevel="2" spans="1:13">
      <c r="A24" s="281" t="s">
        <v>203</v>
      </c>
      <c r="B24" s="282">
        <v>1983</v>
      </c>
      <c r="C24" s="282">
        <v>1983</v>
      </c>
      <c r="D24" s="282"/>
      <c r="E24" s="282"/>
      <c r="F24" s="282"/>
      <c r="G24" s="276"/>
      <c r="H24" s="280"/>
      <c r="J24" s="290"/>
      <c r="K24" s="290"/>
      <c r="L24" s="290"/>
      <c r="M24" s="291"/>
    </row>
    <row r="25" ht="22" hidden="1" customHeight="1" outlineLevel="2" spans="1:13">
      <c r="A25" s="281" t="s">
        <v>204</v>
      </c>
      <c r="B25" s="282">
        <v>56</v>
      </c>
      <c r="C25" s="282">
        <v>56</v>
      </c>
      <c r="D25" s="282"/>
      <c r="E25" s="282"/>
      <c r="F25" s="282"/>
      <c r="G25" s="276"/>
      <c r="H25" s="280"/>
      <c r="J25" s="290"/>
      <c r="K25" s="290"/>
      <c r="L25" s="290"/>
      <c r="M25" s="291"/>
    </row>
    <row r="26" ht="22" hidden="1" customHeight="1" outlineLevel="2" spans="1:13">
      <c r="A26" s="281" t="s">
        <v>205</v>
      </c>
      <c r="B26" s="282">
        <v>210</v>
      </c>
      <c r="C26" s="282">
        <v>210</v>
      </c>
      <c r="D26" s="282"/>
      <c r="E26" s="282"/>
      <c r="F26" s="282"/>
      <c r="G26" s="276"/>
      <c r="H26" s="280"/>
      <c r="J26" s="290"/>
      <c r="K26" s="290"/>
      <c r="L26" s="290"/>
      <c r="M26" s="291"/>
    </row>
    <row r="27" ht="22" hidden="1" customHeight="1" outlineLevel="2" spans="1:13">
      <c r="A27" s="281" t="s">
        <v>206</v>
      </c>
      <c r="B27" s="282">
        <v>72</v>
      </c>
      <c r="C27" s="282">
        <v>72</v>
      </c>
      <c r="D27" s="282"/>
      <c r="E27" s="282"/>
      <c r="F27" s="282"/>
      <c r="G27" s="276"/>
      <c r="H27" s="280"/>
      <c r="J27" s="290"/>
      <c r="K27" s="290"/>
      <c r="L27" s="290"/>
      <c r="M27" s="291"/>
    </row>
    <row r="28" ht="22" hidden="1" customHeight="1" outlineLevel="2" spans="1:13">
      <c r="A28" s="281" t="s">
        <v>207</v>
      </c>
      <c r="B28" s="282">
        <v>4</v>
      </c>
      <c r="C28" s="282">
        <v>4</v>
      </c>
      <c r="D28" s="282">
        <v>4</v>
      </c>
      <c r="E28" s="282">
        <f t="shared" ref="E28:E32" si="3">D28</f>
        <v>4</v>
      </c>
      <c r="F28" s="282"/>
      <c r="G28" s="276"/>
      <c r="H28" s="280" t="s">
        <v>208</v>
      </c>
      <c r="I28" s="296" t="s">
        <v>209</v>
      </c>
      <c r="J28" s="290">
        <v>4</v>
      </c>
      <c r="K28" s="290"/>
      <c r="L28" s="290"/>
      <c r="M28" s="291"/>
    </row>
    <row r="29" ht="22" hidden="1" customHeight="1" outlineLevel="2" spans="1:13">
      <c r="A29" s="284" t="s">
        <v>210</v>
      </c>
      <c r="B29" s="282">
        <v>60</v>
      </c>
      <c r="C29" s="282">
        <v>60</v>
      </c>
      <c r="D29" s="282">
        <v>60</v>
      </c>
      <c r="E29" s="282">
        <f t="shared" si="3"/>
        <v>60</v>
      </c>
      <c r="F29" s="282"/>
      <c r="G29" s="276"/>
      <c r="H29" s="280" t="s">
        <v>208</v>
      </c>
      <c r="I29" s="296" t="s">
        <v>209</v>
      </c>
      <c r="J29" s="290">
        <v>60</v>
      </c>
      <c r="K29" s="290"/>
      <c r="L29" s="290"/>
      <c r="M29" s="291"/>
    </row>
    <row r="30" ht="22" hidden="1" customHeight="1" outlineLevel="2" spans="1:13">
      <c r="A30" s="281" t="s">
        <v>211</v>
      </c>
      <c r="B30" s="282">
        <v>400</v>
      </c>
      <c r="C30" s="282">
        <v>400</v>
      </c>
      <c r="D30" s="282">
        <v>400</v>
      </c>
      <c r="E30" s="282">
        <f t="shared" si="3"/>
        <v>400</v>
      </c>
      <c r="F30" s="282"/>
      <c r="G30" s="276"/>
      <c r="H30" s="280" t="s">
        <v>186</v>
      </c>
      <c r="I30" s="295" t="s">
        <v>212</v>
      </c>
      <c r="J30" s="290">
        <v>400</v>
      </c>
      <c r="K30" s="290"/>
      <c r="L30" s="290"/>
      <c r="M30" s="291"/>
    </row>
    <row r="31" ht="22" hidden="1" customHeight="1" outlineLevel="2" spans="1:13">
      <c r="A31" s="281" t="s">
        <v>213</v>
      </c>
      <c r="B31" s="282">
        <v>16385</v>
      </c>
      <c r="C31" s="282">
        <v>16385</v>
      </c>
      <c r="D31" s="282">
        <v>16385</v>
      </c>
      <c r="E31" s="282">
        <f t="shared" si="3"/>
        <v>16385</v>
      </c>
      <c r="F31" s="282"/>
      <c r="G31" s="276"/>
      <c r="H31" s="280" t="s">
        <v>186</v>
      </c>
      <c r="I31" s="295" t="s">
        <v>214</v>
      </c>
      <c r="J31" s="290">
        <v>16385</v>
      </c>
      <c r="K31" s="290"/>
      <c r="L31" s="290"/>
      <c r="M31" s="291"/>
    </row>
    <row r="32" ht="22" hidden="1" customHeight="1" outlineLevel="2" spans="1:13">
      <c r="A32" s="281" t="s">
        <v>215</v>
      </c>
      <c r="B32" s="282">
        <v>6</v>
      </c>
      <c r="C32" s="282">
        <v>6</v>
      </c>
      <c r="D32" s="282">
        <v>6</v>
      </c>
      <c r="E32" s="282">
        <f t="shared" si="3"/>
        <v>6</v>
      </c>
      <c r="F32" s="282"/>
      <c r="G32" s="276"/>
      <c r="H32" s="280" t="s">
        <v>208</v>
      </c>
      <c r="I32" s="296" t="s">
        <v>209</v>
      </c>
      <c r="J32" s="290">
        <v>6</v>
      </c>
      <c r="K32" s="290"/>
      <c r="L32" s="290"/>
      <c r="M32" s="291"/>
    </row>
    <row r="33" ht="22" hidden="1" customHeight="1" outlineLevel="2" spans="1:13">
      <c r="A33" s="281" t="s">
        <v>216</v>
      </c>
      <c r="B33" s="282">
        <v>147</v>
      </c>
      <c r="C33" s="282">
        <v>147</v>
      </c>
      <c r="D33" s="282">
        <v>132</v>
      </c>
      <c r="E33" s="282">
        <v>132</v>
      </c>
      <c r="F33" s="282"/>
      <c r="G33" s="276"/>
      <c r="H33" s="280" t="s">
        <v>186</v>
      </c>
      <c r="I33" s="268" t="s">
        <v>217</v>
      </c>
      <c r="J33" s="290"/>
      <c r="K33" s="290">
        <v>132</v>
      </c>
      <c r="L33" s="290"/>
      <c r="M33" s="291"/>
    </row>
    <row r="34" ht="22" hidden="1" customHeight="1" outlineLevel="2" spans="1:13">
      <c r="A34" s="281" t="s">
        <v>218</v>
      </c>
      <c r="B34" s="282">
        <v>2</v>
      </c>
      <c r="C34" s="282">
        <v>2</v>
      </c>
      <c r="D34" s="282"/>
      <c r="E34" s="282"/>
      <c r="F34" s="282"/>
      <c r="G34" s="276"/>
      <c r="H34" s="280"/>
      <c r="J34" s="290"/>
      <c r="K34" s="290"/>
      <c r="L34" s="290"/>
      <c r="M34" s="291"/>
    </row>
    <row r="35" ht="22" customHeight="1" outlineLevel="1" collapsed="1" spans="1:13">
      <c r="A35" s="281" t="s">
        <v>219</v>
      </c>
      <c r="B35" s="282">
        <f>SUM(B36:B49)</f>
        <v>20537</v>
      </c>
      <c r="C35" s="282">
        <f>SUM(C36:C49)</f>
        <v>20537</v>
      </c>
      <c r="D35" s="282">
        <f>SUM(D36:D49)</f>
        <v>22027</v>
      </c>
      <c r="E35" s="282">
        <f>SUM(E36:E49)</f>
        <v>22027</v>
      </c>
      <c r="F35" s="282"/>
      <c r="G35" s="276"/>
      <c r="H35" s="280"/>
      <c r="J35" s="290">
        <f>SUM(J36:J48)</f>
        <v>17296</v>
      </c>
      <c r="K35" s="290"/>
      <c r="L35" s="290"/>
      <c r="M35" s="291"/>
    </row>
    <row r="36" ht="22" hidden="1" customHeight="1" outlineLevel="2" spans="1:13">
      <c r="A36" s="281" t="s">
        <v>220</v>
      </c>
      <c r="B36" s="282">
        <v>76</v>
      </c>
      <c r="C36" s="282">
        <v>76</v>
      </c>
      <c r="D36" s="282">
        <v>76</v>
      </c>
      <c r="E36" s="282">
        <f t="shared" ref="E36:E49" si="4">D36</f>
        <v>76</v>
      </c>
      <c r="F36" s="282"/>
      <c r="G36" s="276"/>
      <c r="H36" s="280" t="s">
        <v>186</v>
      </c>
      <c r="I36" s="295" t="s">
        <v>221</v>
      </c>
      <c r="J36" s="290">
        <v>76</v>
      </c>
      <c r="K36" s="290"/>
      <c r="L36" s="290"/>
      <c r="M36" s="291"/>
    </row>
    <row r="37" ht="22" hidden="1" customHeight="1" outlineLevel="2" spans="1:13">
      <c r="A37" s="281" t="s">
        <v>222</v>
      </c>
      <c r="B37" s="282">
        <v>67</v>
      </c>
      <c r="C37" s="282">
        <v>67</v>
      </c>
      <c r="D37" s="282">
        <v>67</v>
      </c>
      <c r="E37" s="282">
        <f t="shared" si="4"/>
        <v>67</v>
      </c>
      <c r="F37" s="282"/>
      <c r="G37" s="276"/>
      <c r="H37" s="280" t="s">
        <v>186</v>
      </c>
      <c r="I37" s="295" t="s">
        <v>221</v>
      </c>
      <c r="J37" s="290">
        <v>67</v>
      </c>
      <c r="K37" s="290"/>
      <c r="L37" s="290"/>
      <c r="M37" s="291"/>
    </row>
    <row r="38" ht="22" hidden="1" customHeight="1" outlineLevel="2" spans="1:13">
      <c r="A38" s="281" t="s">
        <v>223</v>
      </c>
      <c r="B38" s="282">
        <v>517</v>
      </c>
      <c r="C38" s="282">
        <v>517</v>
      </c>
      <c r="D38" s="282">
        <v>517</v>
      </c>
      <c r="E38" s="282">
        <f t="shared" si="4"/>
        <v>517</v>
      </c>
      <c r="F38" s="282"/>
      <c r="G38" s="276"/>
      <c r="H38" s="280" t="s">
        <v>186</v>
      </c>
      <c r="I38" s="295" t="s">
        <v>221</v>
      </c>
      <c r="J38" s="290">
        <v>517</v>
      </c>
      <c r="K38" s="290"/>
      <c r="L38" s="290"/>
      <c r="M38" s="291"/>
    </row>
    <row r="39" ht="22" hidden="1" customHeight="1" outlineLevel="2" spans="1:13">
      <c r="A39" s="281" t="s">
        <v>224</v>
      </c>
      <c r="B39" s="282">
        <v>1045</v>
      </c>
      <c r="C39" s="282">
        <v>1045</v>
      </c>
      <c r="D39" s="282">
        <v>1045</v>
      </c>
      <c r="E39" s="282">
        <f t="shared" si="4"/>
        <v>1045</v>
      </c>
      <c r="F39" s="282"/>
      <c r="G39" s="276"/>
      <c r="H39" s="280" t="s">
        <v>186</v>
      </c>
      <c r="I39" s="295" t="s">
        <v>221</v>
      </c>
      <c r="J39" s="290">
        <v>1045</v>
      </c>
      <c r="K39" s="290"/>
      <c r="L39" s="290"/>
      <c r="M39" s="291"/>
    </row>
    <row r="40" ht="22" hidden="1" customHeight="1" outlineLevel="2" spans="1:13">
      <c r="A40" s="281" t="s">
        <v>225</v>
      </c>
      <c r="B40" s="282">
        <v>57</v>
      </c>
      <c r="C40" s="282">
        <v>57</v>
      </c>
      <c r="D40" s="282">
        <v>57</v>
      </c>
      <c r="E40" s="282">
        <f t="shared" si="4"/>
        <v>57</v>
      </c>
      <c r="F40" s="282"/>
      <c r="G40" s="276"/>
      <c r="H40" s="280" t="s">
        <v>186</v>
      </c>
      <c r="I40" s="295" t="s">
        <v>221</v>
      </c>
      <c r="J40" s="290">
        <v>57</v>
      </c>
      <c r="K40" s="290"/>
      <c r="L40" s="290"/>
      <c r="M40" s="291"/>
    </row>
    <row r="41" ht="22" hidden="1" customHeight="1" outlineLevel="2" spans="1:13">
      <c r="A41" s="281" t="s">
        <v>226</v>
      </c>
      <c r="B41" s="282">
        <v>1459</v>
      </c>
      <c r="C41" s="282">
        <v>1459</v>
      </c>
      <c r="D41" s="282">
        <v>1459</v>
      </c>
      <c r="E41" s="282">
        <f t="shared" si="4"/>
        <v>1459</v>
      </c>
      <c r="F41" s="282"/>
      <c r="G41" s="285"/>
      <c r="H41" s="280" t="s">
        <v>186</v>
      </c>
      <c r="I41" s="295" t="s">
        <v>221</v>
      </c>
      <c r="J41" s="290">
        <v>1459</v>
      </c>
      <c r="K41" s="290"/>
      <c r="L41" s="290"/>
      <c r="M41" s="291"/>
    </row>
    <row r="42" ht="22" hidden="1" customHeight="1" outlineLevel="2" spans="1:13">
      <c r="A42" s="281" t="s">
        <v>227</v>
      </c>
      <c r="B42" s="282">
        <v>84</v>
      </c>
      <c r="C42" s="282">
        <v>84</v>
      </c>
      <c r="D42" s="282">
        <v>84</v>
      </c>
      <c r="E42" s="282">
        <f t="shared" si="4"/>
        <v>84</v>
      </c>
      <c r="F42" s="282"/>
      <c r="G42" s="276"/>
      <c r="H42" s="280" t="s">
        <v>186</v>
      </c>
      <c r="I42" s="295" t="s">
        <v>221</v>
      </c>
      <c r="J42" s="290">
        <v>84</v>
      </c>
      <c r="K42" s="290"/>
      <c r="L42" s="290"/>
      <c r="M42" s="291"/>
    </row>
    <row r="43" ht="22" hidden="1" customHeight="1" outlineLevel="2" spans="1:13">
      <c r="A43" s="281" t="s">
        <v>228</v>
      </c>
      <c r="B43" s="282">
        <v>1109</v>
      </c>
      <c r="C43" s="282">
        <v>1109</v>
      </c>
      <c r="D43" s="282">
        <v>1109</v>
      </c>
      <c r="E43" s="282">
        <f t="shared" si="4"/>
        <v>1109</v>
      </c>
      <c r="F43" s="282"/>
      <c r="G43" s="276"/>
      <c r="H43" s="280" t="s">
        <v>186</v>
      </c>
      <c r="I43" s="295" t="s">
        <v>221</v>
      </c>
      <c r="J43" s="290">
        <v>1109</v>
      </c>
      <c r="K43" s="290"/>
      <c r="L43" s="290"/>
      <c r="M43" s="291"/>
    </row>
    <row r="44" ht="22" hidden="1" customHeight="1" outlineLevel="2" spans="1:13">
      <c r="A44" s="281" t="s">
        <v>229</v>
      </c>
      <c r="B44" s="282">
        <v>5200</v>
      </c>
      <c r="C44" s="282">
        <v>5200</v>
      </c>
      <c r="D44" s="282">
        <v>5200</v>
      </c>
      <c r="E44" s="282">
        <f t="shared" si="4"/>
        <v>5200</v>
      </c>
      <c r="F44" s="282"/>
      <c r="G44" s="276"/>
      <c r="H44" s="280" t="s">
        <v>186</v>
      </c>
      <c r="I44" s="295" t="s">
        <v>221</v>
      </c>
      <c r="J44" s="290">
        <v>5200</v>
      </c>
      <c r="K44" s="290"/>
      <c r="L44" s="290"/>
      <c r="M44" s="291"/>
    </row>
    <row r="45" ht="22" hidden="1" customHeight="1" outlineLevel="2" spans="1:13">
      <c r="A45" s="281" t="s">
        <v>230</v>
      </c>
      <c r="B45" s="282">
        <v>3692</v>
      </c>
      <c r="C45" s="282">
        <v>3692</v>
      </c>
      <c r="D45" s="282">
        <v>3692</v>
      </c>
      <c r="E45" s="282">
        <f t="shared" si="4"/>
        <v>3692</v>
      </c>
      <c r="F45" s="282"/>
      <c r="G45" s="276"/>
      <c r="H45" s="280" t="s">
        <v>186</v>
      </c>
      <c r="I45" s="295" t="s">
        <v>221</v>
      </c>
      <c r="J45" s="290">
        <v>3692</v>
      </c>
      <c r="K45" s="290"/>
      <c r="L45" s="290"/>
      <c r="M45" s="291"/>
    </row>
    <row r="46" ht="22" hidden="1" customHeight="1" outlineLevel="2" spans="1:13">
      <c r="A46" s="281" t="s">
        <v>231</v>
      </c>
      <c r="B46" s="282">
        <v>260</v>
      </c>
      <c r="C46" s="282">
        <v>260</v>
      </c>
      <c r="D46" s="282">
        <v>260</v>
      </c>
      <c r="E46" s="282">
        <f t="shared" si="4"/>
        <v>260</v>
      </c>
      <c r="F46" s="282"/>
      <c r="G46" s="276"/>
      <c r="H46" s="280" t="s">
        <v>186</v>
      </c>
      <c r="I46" s="295" t="s">
        <v>221</v>
      </c>
      <c r="J46" s="290">
        <v>260</v>
      </c>
      <c r="K46" s="290"/>
      <c r="L46" s="290"/>
      <c r="M46" s="291"/>
    </row>
    <row r="47" ht="22" hidden="1" customHeight="1" outlineLevel="2" spans="1:13">
      <c r="A47" s="281" t="s">
        <v>232</v>
      </c>
      <c r="B47" s="282">
        <v>2556</v>
      </c>
      <c r="C47" s="282">
        <v>2556</v>
      </c>
      <c r="D47" s="282">
        <v>2556</v>
      </c>
      <c r="E47" s="282">
        <f t="shared" si="4"/>
        <v>2556</v>
      </c>
      <c r="F47" s="282"/>
      <c r="G47" s="276"/>
      <c r="H47" s="280" t="s">
        <v>186</v>
      </c>
      <c r="I47" s="295" t="s">
        <v>221</v>
      </c>
      <c r="J47" s="290">
        <v>2556</v>
      </c>
      <c r="K47" s="290"/>
      <c r="L47" s="290"/>
      <c r="M47" s="291"/>
    </row>
    <row r="48" ht="22" hidden="1" customHeight="1" outlineLevel="2" spans="1:13">
      <c r="A48" s="281" t="s">
        <v>233</v>
      </c>
      <c r="B48" s="282">
        <v>1174</v>
      </c>
      <c r="C48" s="282">
        <v>1174</v>
      </c>
      <c r="D48" s="282">
        <v>1174</v>
      </c>
      <c r="E48" s="282">
        <f t="shared" si="4"/>
        <v>1174</v>
      </c>
      <c r="F48" s="282"/>
      <c r="G48" s="276"/>
      <c r="H48" s="280" t="s">
        <v>186</v>
      </c>
      <c r="I48" s="295" t="s">
        <v>221</v>
      </c>
      <c r="J48" s="290">
        <v>1174</v>
      </c>
      <c r="K48" s="290"/>
      <c r="L48" s="290"/>
      <c r="M48" s="291"/>
    </row>
    <row r="49" ht="22" hidden="1" customHeight="1" outlineLevel="2" spans="1:13">
      <c r="A49" s="281" t="s">
        <v>234</v>
      </c>
      <c r="B49" s="282">
        <v>3241</v>
      </c>
      <c r="C49" s="282">
        <v>3241</v>
      </c>
      <c r="D49" s="282">
        <v>4731</v>
      </c>
      <c r="E49" s="282">
        <f t="shared" si="4"/>
        <v>4731</v>
      </c>
      <c r="F49" s="282"/>
      <c r="G49" s="276"/>
      <c r="H49" s="280" t="s">
        <v>186</v>
      </c>
      <c r="I49" s="295" t="s">
        <v>221</v>
      </c>
      <c r="J49" s="290"/>
      <c r="K49" s="290">
        <v>4731</v>
      </c>
      <c r="L49" s="290"/>
      <c r="M49" s="291"/>
    </row>
    <row r="50" ht="22" customHeight="1" outlineLevel="1" collapsed="1" spans="1:13">
      <c r="A50" s="281" t="s">
        <v>235</v>
      </c>
      <c r="B50" s="282">
        <f t="shared" ref="B50:F50" si="5">SUM(B51:B73)</f>
        <v>18611</v>
      </c>
      <c r="C50" s="282">
        <f t="shared" si="5"/>
        <v>18611</v>
      </c>
      <c r="D50" s="282">
        <f t="shared" si="5"/>
        <v>1224</v>
      </c>
      <c r="E50" s="282">
        <f t="shared" si="5"/>
        <v>1224</v>
      </c>
      <c r="F50" s="282">
        <f t="shared" si="5"/>
        <v>0</v>
      </c>
      <c r="G50" s="276"/>
      <c r="H50" s="280"/>
      <c r="J50" s="290">
        <f>SUM(J51)</f>
        <v>826</v>
      </c>
      <c r="K50" s="290"/>
      <c r="L50" s="290"/>
      <c r="M50" s="291"/>
    </row>
    <row r="51" ht="22" hidden="1" customHeight="1" outlineLevel="2" spans="1:13">
      <c r="A51" s="281" t="s">
        <v>236</v>
      </c>
      <c r="B51" s="282">
        <v>826</v>
      </c>
      <c r="C51" s="282">
        <v>826</v>
      </c>
      <c r="D51" s="282">
        <v>826</v>
      </c>
      <c r="E51" s="282">
        <f t="shared" ref="E51:E73" si="6">D51</f>
        <v>826</v>
      </c>
      <c r="F51" s="282"/>
      <c r="G51" s="276"/>
      <c r="H51" s="280" t="s">
        <v>208</v>
      </c>
      <c r="I51" s="296" t="s">
        <v>209</v>
      </c>
      <c r="J51" s="290">
        <v>826</v>
      </c>
      <c r="K51" s="290"/>
      <c r="L51" s="290"/>
      <c r="M51" s="291"/>
    </row>
    <row r="52" ht="22" hidden="1" customHeight="1" outlineLevel="2" spans="1:13">
      <c r="A52" s="276" t="s">
        <v>237</v>
      </c>
      <c r="B52" s="276">
        <v>2454</v>
      </c>
      <c r="C52" s="276">
        <v>2454</v>
      </c>
      <c r="D52" s="282"/>
      <c r="E52" s="282">
        <f t="shared" si="6"/>
        <v>0</v>
      </c>
      <c r="F52" s="282"/>
      <c r="G52" s="276"/>
      <c r="H52" s="280"/>
      <c r="I52" s="296"/>
      <c r="J52" s="290"/>
      <c r="K52" s="290"/>
      <c r="L52" s="290"/>
      <c r="M52" s="291"/>
    </row>
    <row r="53" ht="22" hidden="1" customHeight="1" outlineLevel="2" spans="1:13">
      <c r="A53" s="276" t="s">
        <v>237</v>
      </c>
      <c r="B53" s="276">
        <v>284</v>
      </c>
      <c r="C53" s="276">
        <v>284</v>
      </c>
      <c r="D53" s="282"/>
      <c r="E53" s="282">
        <f t="shared" si="6"/>
        <v>0</v>
      </c>
      <c r="F53" s="282"/>
      <c r="G53" s="276"/>
      <c r="H53" s="280"/>
      <c r="I53" s="296"/>
      <c r="J53" s="290"/>
      <c r="K53" s="290"/>
      <c r="L53" s="290"/>
      <c r="M53" s="291"/>
    </row>
    <row r="54" ht="22" hidden="1" customHeight="1" outlineLevel="2" spans="1:13">
      <c r="A54" s="276" t="s">
        <v>238</v>
      </c>
      <c r="B54" s="276">
        <v>100</v>
      </c>
      <c r="C54" s="276">
        <v>100</v>
      </c>
      <c r="D54" s="282"/>
      <c r="E54" s="282">
        <f t="shared" si="6"/>
        <v>0</v>
      </c>
      <c r="F54" s="282"/>
      <c r="G54" s="276"/>
      <c r="H54" s="280"/>
      <c r="I54" s="296"/>
      <c r="J54" s="290"/>
      <c r="K54" s="290"/>
      <c r="L54" s="290"/>
      <c r="M54" s="291"/>
    </row>
    <row r="55" ht="22" hidden="1" customHeight="1" outlineLevel="2" spans="1:13">
      <c r="A55" s="276" t="s">
        <v>238</v>
      </c>
      <c r="B55" s="276">
        <v>60</v>
      </c>
      <c r="C55" s="276">
        <v>60</v>
      </c>
      <c r="D55" s="282"/>
      <c r="E55" s="282">
        <f t="shared" si="6"/>
        <v>0</v>
      </c>
      <c r="F55" s="282"/>
      <c r="G55" s="276"/>
      <c r="H55" s="280"/>
      <c r="I55" s="296"/>
      <c r="J55" s="290"/>
      <c r="K55" s="290"/>
      <c r="L55" s="290"/>
      <c r="M55" s="291"/>
    </row>
    <row r="56" ht="22" hidden="1" customHeight="1" outlineLevel="2" spans="1:13">
      <c r="A56" s="276" t="s">
        <v>237</v>
      </c>
      <c r="B56" s="276">
        <v>2895</v>
      </c>
      <c r="C56" s="276">
        <v>2895</v>
      </c>
      <c r="D56" s="282"/>
      <c r="E56" s="282">
        <f t="shared" si="6"/>
        <v>0</v>
      </c>
      <c r="F56" s="282"/>
      <c r="G56" s="276"/>
      <c r="H56" s="280"/>
      <c r="I56" s="296"/>
      <c r="J56" s="290"/>
      <c r="K56" s="290"/>
      <c r="L56" s="290"/>
      <c r="M56" s="291"/>
    </row>
    <row r="57" ht="22" hidden="1" customHeight="1" outlineLevel="2" spans="1:13">
      <c r="A57" s="276" t="s">
        <v>239</v>
      </c>
      <c r="B57" s="276">
        <v>60</v>
      </c>
      <c r="C57" s="276">
        <v>60</v>
      </c>
      <c r="D57" s="282"/>
      <c r="E57" s="282">
        <f t="shared" si="6"/>
        <v>0</v>
      </c>
      <c r="F57" s="282"/>
      <c r="G57" s="276"/>
      <c r="H57" s="280"/>
      <c r="I57" s="296"/>
      <c r="J57" s="290"/>
      <c r="K57" s="290"/>
      <c r="L57" s="290"/>
      <c r="M57" s="291"/>
    </row>
    <row r="58" ht="22" hidden="1" customHeight="1" outlineLevel="2" spans="1:13">
      <c r="A58" s="276" t="s">
        <v>240</v>
      </c>
      <c r="B58" s="276">
        <v>369</v>
      </c>
      <c r="C58" s="276">
        <v>369</v>
      </c>
      <c r="D58" s="282"/>
      <c r="E58" s="282">
        <f t="shared" si="6"/>
        <v>0</v>
      </c>
      <c r="F58" s="282"/>
      <c r="G58" s="276"/>
      <c r="H58" s="280"/>
      <c r="I58" s="296"/>
      <c r="J58" s="290"/>
      <c r="K58" s="290"/>
      <c r="L58" s="290"/>
      <c r="M58" s="291"/>
    </row>
    <row r="59" ht="22" hidden="1" customHeight="1" outlineLevel="2" spans="1:13">
      <c r="A59" s="276" t="s">
        <v>241</v>
      </c>
      <c r="B59" s="276">
        <v>813</v>
      </c>
      <c r="C59" s="276">
        <v>813</v>
      </c>
      <c r="D59" s="282"/>
      <c r="E59" s="282">
        <f t="shared" si="6"/>
        <v>0</v>
      </c>
      <c r="F59" s="282"/>
      <c r="G59" s="276"/>
      <c r="H59" s="280"/>
      <c r="I59" s="296"/>
      <c r="J59" s="290"/>
      <c r="K59" s="290"/>
      <c r="L59" s="290"/>
      <c r="M59" s="291"/>
    </row>
    <row r="60" ht="22" hidden="1" customHeight="1" outlineLevel="2" spans="1:13">
      <c r="A60" s="276" t="s">
        <v>242</v>
      </c>
      <c r="B60" s="276">
        <v>80</v>
      </c>
      <c r="C60" s="276">
        <v>80</v>
      </c>
      <c r="D60" s="282">
        <v>150</v>
      </c>
      <c r="E60" s="282">
        <f t="shared" si="6"/>
        <v>150</v>
      </c>
      <c r="F60" s="282"/>
      <c r="G60" s="276"/>
      <c r="H60" s="280" t="s">
        <v>243</v>
      </c>
      <c r="I60" s="296" t="s">
        <v>244</v>
      </c>
      <c r="J60" s="290"/>
      <c r="K60" s="290">
        <v>150</v>
      </c>
      <c r="L60" s="290">
        <v>207</v>
      </c>
      <c r="M60" s="291" t="s">
        <v>245</v>
      </c>
    </row>
    <row r="61" ht="22" hidden="1" customHeight="1" outlineLevel="2" spans="1:13">
      <c r="A61" s="276" t="s">
        <v>246</v>
      </c>
      <c r="B61" s="276">
        <v>18</v>
      </c>
      <c r="C61" s="276">
        <v>18</v>
      </c>
      <c r="D61" s="282">
        <v>13</v>
      </c>
      <c r="E61" s="282">
        <f t="shared" si="6"/>
        <v>13</v>
      </c>
      <c r="F61" s="282"/>
      <c r="G61" s="276"/>
      <c r="H61" s="280" t="s">
        <v>247</v>
      </c>
      <c r="I61" s="296" t="s">
        <v>244</v>
      </c>
      <c r="J61" s="290"/>
      <c r="K61" s="290">
        <v>13</v>
      </c>
      <c r="L61" s="290"/>
      <c r="M61" s="291"/>
    </row>
    <row r="62" ht="22" hidden="1" customHeight="1" outlineLevel="2" spans="1:13">
      <c r="A62" s="276" t="s">
        <v>248</v>
      </c>
      <c r="B62" s="276">
        <v>147</v>
      </c>
      <c r="C62" s="276">
        <v>147</v>
      </c>
      <c r="D62" s="282">
        <v>160</v>
      </c>
      <c r="E62" s="282">
        <f t="shared" si="6"/>
        <v>160</v>
      </c>
      <c r="F62" s="282"/>
      <c r="G62" s="276"/>
      <c r="H62" s="280" t="s">
        <v>249</v>
      </c>
      <c r="I62" s="296" t="s">
        <v>244</v>
      </c>
      <c r="J62" s="290"/>
      <c r="K62" s="290">
        <v>160</v>
      </c>
      <c r="L62" s="290">
        <v>208</v>
      </c>
      <c r="M62" s="291">
        <v>2080199</v>
      </c>
    </row>
    <row r="63" ht="22" hidden="1" customHeight="1" outlineLevel="2" spans="1:13">
      <c r="A63" s="276" t="s">
        <v>250</v>
      </c>
      <c r="B63" s="276">
        <v>84</v>
      </c>
      <c r="C63" s="276">
        <v>84</v>
      </c>
      <c r="D63" s="282">
        <v>75</v>
      </c>
      <c r="E63" s="282">
        <f t="shared" si="6"/>
        <v>75</v>
      </c>
      <c r="F63" s="282"/>
      <c r="G63" s="276"/>
      <c r="H63" s="280" t="s">
        <v>251</v>
      </c>
      <c r="I63" s="296" t="s">
        <v>244</v>
      </c>
      <c r="J63" s="290"/>
      <c r="K63" s="290">
        <v>75</v>
      </c>
      <c r="L63" s="290">
        <v>207</v>
      </c>
      <c r="M63" s="291" t="s">
        <v>252</v>
      </c>
    </row>
    <row r="64" ht="22" hidden="1" customHeight="1" outlineLevel="2" spans="1:13">
      <c r="A64" s="276" t="s">
        <v>253</v>
      </c>
      <c r="B64" s="276">
        <v>138</v>
      </c>
      <c r="C64" s="276">
        <v>138</v>
      </c>
      <c r="D64" s="282"/>
      <c r="E64" s="282">
        <f t="shared" si="6"/>
        <v>0</v>
      </c>
      <c r="F64" s="282"/>
      <c r="G64" s="276"/>
      <c r="H64" s="280"/>
      <c r="I64" s="296"/>
      <c r="J64" s="290"/>
      <c r="K64" s="290"/>
      <c r="L64" s="290"/>
      <c r="M64" s="291"/>
    </row>
    <row r="65" ht="22" hidden="1" customHeight="1" outlineLevel="2" spans="1:13">
      <c r="A65" s="276" t="s">
        <v>254</v>
      </c>
      <c r="B65" s="276">
        <v>44</v>
      </c>
      <c r="C65" s="276">
        <v>44</v>
      </c>
      <c r="D65" s="282"/>
      <c r="E65" s="282">
        <f t="shared" si="6"/>
        <v>0</v>
      </c>
      <c r="F65" s="282"/>
      <c r="G65" s="276"/>
      <c r="H65" s="280"/>
      <c r="I65" s="296"/>
      <c r="J65" s="290"/>
      <c r="K65" s="290"/>
      <c r="L65" s="290"/>
      <c r="M65" s="291"/>
    </row>
    <row r="66" ht="22" hidden="1" customHeight="1" outlineLevel="2" spans="1:13">
      <c r="A66" s="276" t="s">
        <v>255</v>
      </c>
      <c r="B66" s="276">
        <v>-131</v>
      </c>
      <c r="C66" s="276">
        <v>-131</v>
      </c>
      <c r="D66" s="282"/>
      <c r="E66" s="282">
        <f t="shared" si="6"/>
        <v>0</v>
      </c>
      <c r="F66" s="282"/>
      <c r="G66" s="276"/>
      <c r="H66" s="280"/>
      <c r="I66" s="296"/>
      <c r="J66" s="290"/>
      <c r="K66" s="290"/>
      <c r="L66" s="290"/>
      <c r="M66" s="291"/>
    </row>
    <row r="67" ht="22" hidden="1" customHeight="1" outlineLevel="2" spans="1:13">
      <c r="A67" s="276" t="s">
        <v>256</v>
      </c>
      <c r="B67" s="276">
        <v>127</v>
      </c>
      <c r="C67" s="276">
        <v>127</v>
      </c>
      <c r="D67" s="282"/>
      <c r="E67" s="282">
        <f t="shared" si="6"/>
        <v>0</v>
      </c>
      <c r="F67" s="282"/>
      <c r="G67" s="276"/>
      <c r="H67" s="280"/>
      <c r="I67" s="296"/>
      <c r="J67" s="290"/>
      <c r="K67" s="290"/>
      <c r="L67" s="290"/>
      <c r="M67" s="291"/>
    </row>
    <row r="68" ht="22" hidden="1" customHeight="1" outlineLevel="2" spans="1:13">
      <c r="A68" s="276" t="s">
        <v>257</v>
      </c>
      <c r="B68" s="276">
        <v>9045</v>
      </c>
      <c r="C68" s="276">
        <v>9045</v>
      </c>
      <c r="D68" s="282"/>
      <c r="E68" s="282">
        <f t="shared" si="6"/>
        <v>0</v>
      </c>
      <c r="F68" s="282"/>
      <c r="G68" s="276"/>
      <c r="H68" s="280"/>
      <c r="I68" s="296"/>
      <c r="J68" s="290"/>
      <c r="K68" s="290"/>
      <c r="L68" s="290"/>
      <c r="M68" s="291"/>
    </row>
    <row r="69" ht="22" hidden="1" customHeight="1" outlineLevel="2" spans="1:13">
      <c r="A69" s="276" t="s">
        <v>258</v>
      </c>
      <c r="B69" s="276">
        <v>921</v>
      </c>
      <c r="C69" s="276">
        <v>921</v>
      </c>
      <c r="D69" s="282"/>
      <c r="E69" s="282">
        <f t="shared" si="6"/>
        <v>0</v>
      </c>
      <c r="F69" s="282"/>
      <c r="G69" s="276"/>
      <c r="H69" s="280"/>
      <c r="I69" s="296"/>
      <c r="J69" s="290"/>
      <c r="K69" s="290"/>
      <c r="L69" s="290"/>
      <c r="M69" s="291"/>
    </row>
    <row r="70" ht="22" hidden="1" customHeight="1" outlineLevel="2" spans="1:13">
      <c r="A70" s="276" t="s">
        <v>259</v>
      </c>
      <c r="B70" s="276">
        <v>153</v>
      </c>
      <c r="C70" s="276">
        <v>153</v>
      </c>
      <c r="D70" s="282"/>
      <c r="E70" s="282">
        <f t="shared" si="6"/>
        <v>0</v>
      </c>
      <c r="F70" s="282"/>
      <c r="G70" s="276"/>
      <c r="H70" s="280"/>
      <c r="I70" s="296"/>
      <c r="J70" s="290"/>
      <c r="K70" s="290"/>
      <c r="L70" s="290"/>
      <c r="M70" s="291"/>
    </row>
    <row r="71" ht="22" hidden="1" customHeight="1" outlineLevel="2" spans="1:13">
      <c r="A71" s="276" t="s">
        <v>259</v>
      </c>
      <c r="B71" s="276">
        <v>61</v>
      </c>
      <c r="C71" s="276">
        <v>61</v>
      </c>
      <c r="D71" s="282"/>
      <c r="E71" s="282">
        <f t="shared" si="6"/>
        <v>0</v>
      </c>
      <c r="F71" s="282"/>
      <c r="G71" s="276"/>
      <c r="H71" s="280"/>
      <c r="I71" s="296"/>
      <c r="J71" s="290"/>
      <c r="K71" s="290"/>
      <c r="L71" s="290"/>
      <c r="M71" s="291"/>
    </row>
    <row r="72" ht="22" hidden="1" customHeight="1" outlineLevel="2" spans="1:13">
      <c r="A72" s="276" t="s">
        <v>259</v>
      </c>
      <c r="B72" s="276">
        <v>12</v>
      </c>
      <c r="C72" s="276">
        <v>12</v>
      </c>
      <c r="D72" s="282"/>
      <c r="E72" s="282">
        <f t="shared" si="6"/>
        <v>0</v>
      </c>
      <c r="F72" s="282"/>
      <c r="G72" s="276"/>
      <c r="H72" s="280"/>
      <c r="I72" s="296"/>
      <c r="J72" s="290"/>
      <c r="K72" s="290"/>
      <c r="L72" s="290"/>
      <c r="M72" s="291"/>
    </row>
    <row r="73" ht="22" hidden="1" customHeight="1" outlineLevel="2" spans="1:13">
      <c r="A73" s="276" t="s">
        <v>259</v>
      </c>
      <c r="B73" s="276">
        <v>51</v>
      </c>
      <c r="C73" s="276">
        <v>51</v>
      </c>
      <c r="D73" s="282"/>
      <c r="E73" s="282">
        <f t="shared" si="6"/>
        <v>0</v>
      </c>
      <c r="F73" s="282"/>
      <c r="G73" s="276"/>
      <c r="H73" s="280"/>
      <c r="I73" s="296"/>
      <c r="J73" s="290"/>
      <c r="K73" s="290"/>
      <c r="L73" s="290"/>
      <c r="M73" s="291"/>
    </row>
    <row r="74" ht="22" customHeight="1" outlineLevel="1" collapsed="1" spans="1:13">
      <c r="A74" s="281" t="s">
        <v>260</v>
      </c>
      <c r="B74" s="282">
        <f t="shared" ref="B74:B78" si="7">B75</f>
        <v>18653</v>
      </c>
      <c r="C74" s="282">
        <f t="shared" ref="C74:C78" si="8">C75</f>
        <v>18653</v>
      </c>
      <c r="D74" s="282">
        <f>SUM(D75)</f>
        <v>16500</v>
      </c>
      <c r="E74" s="282">
        <f>SUM(E75)</f>
        <v>16500</v>
      </c>
      <c r="F74" s="282"/>
      <c r="G74" s="276"/>
      <c r="H74" s="280"/>
      <c r="J74" s="290"/>
      <c r="K74" s="290"/>
      <c r="L74" s="290"/>
      <c r="M74" s="291"/>
    </row>
    <row r="75" ht="22" hidden="1" customHeight="1" outlineLevel="2" spans="1:13">
      <c r="A75" s="281" t="s">
        <v>261</v>
      </c>
      <c r="B75" s="282">
        <v>18653</v>
      </c>
      <c r="C75" s="282">
        <v>18653</v>
      </c>
      <c r="D75" s="282">
        <v>16500</v>
      </c>
      <c r="E75" s="282">
        <v>16500</v>
      </c>
      <c r="F75" s="282"/>
      <c r="G75" s="276"/>
      <c r="H75" s="280" t="s">
        <v>186</v>
      </c>
      <c r="I75" s="295" t="s">
        <v>217</v>
      </c>
      <c r="J75" s="290">
        <v>16500</v>
      </c>
      <c r="K75" s="290"/>
      <c r="L75" s="290"/>
      <c r="M75" s="291"/>
    </row>
    <row r="76" ht="22" customHeight="1" outlineLevel="1" collapsed="1" spans="1:13">
      <c r="A76" s="281" t="s">
        <v>262</v>
      </c>
      <c r="B76" s="282">
        <f t="shared" si="7"/>
        <v>2364</v>
      </c>
      <c r="C76" s="282">
        <f t="shared" si="8"/>
        <v>2364</v>
      </c>
      <c r="D76" s="282">
        <f>SUM(D77:D77)</f>
        <v>3534</v>
      </c>
      <c r="E76" s="282">
        <f>SUM(E77:E77)</f>
        <v>3534</v>
      </c>
      <c r="F76" s="282"/>
      <c r="G76" s="276"/>
      <c r="H76" s="280"/>
      <c r="I76" s="295"/>
      <c r="J76" s="290"/>
      <c r="K76" s="290"/>
      <c r="L76" s="290"/>
      <c r="M76" s="291"/>
    </row>
    <row r="77" ht="22" hidden="1" customHeight="1" outlineLevel="2" spans="1:13">
      <c r="A77" s="281" t="s">
        <v>263</v>
      </c>
      <c r="B77" s="282">
        <v>2364</v>
      </c>
      <c r="C77" s="282">
        <v>2364</v>
      </c>
      <c r="D77" s="282">
        <v>3534</v>
      </c>
      <c r="E77" s="282">
        <v>3534</v>
      </c>
      <c r="F77" s="282"/>
      <c r="G77" s="276"/>
      <c r="H77" s="280" t="s">
        <v>264</v>
      </c>
      <c r="I77" s="295" t="s">
        <v>265</v>
      </c>
      <c r="J77" s="290"/>
      <c r="K77" s="290">
        <v>3534</v>
      </c>
      <c r="L77" s="290">
        <v>230</v>
      </c>
      <c r="M77" s="291" t="s">
        <v>266</v>
      </c>
    </row>
    <row r="78" ht="22" customHeight="1" outlineLevel="1" collapsed="1" spans="1:13">
      <c r="A78" s="281" t="s">
        <v>267</v>
      </c>
      <c r="B78" s="282">
        <f t="shared" si="7"/>
        <v>49</v>
      </c>
      <c r="C78" s="282">
        <f t="shared" si="8"/>
        <v>49</v>
      </c>
      <c r="D78" s="282">
        <f>SUM(D79)</f>
        <v>44</v>
      </c>
      <c r="E78" s="282">
        <f>SUM(E79)</f>
        <v>44</v>
      </c>
      <c r="F78" s="282"/>
      <c r="G78" s="276"/>
      <c r="H78" s="280"/>
      <c r="I78" s="295"/>
      <c r="J78" s="290"/>
      <c r="K78" s="290"/>
      <c r="L78" s="290"/>
      <c r="M78" s="291"/>
    </row>
    <row r="79" ht="22" hidden="1" customHeight="1" outlineLevel="2" spans="1:13">
      <c r="A79" s="281" t="s">
        <v>268</v>
      </c>
      <c r="B79" s="282">
        <v>49</v>
      </c>
      <c r="C79" s="282">
        <v>49</v>
      </c>
      <c r="D79" s="282">
        <v>44</v>
      </c>
      <c r="E79" s="282">
        <f t="shared" ref="E79:E113" si="9">D79</f>
        <v>44</v>
      </c>
      <c r="F79" s="282"/>
      <c r="G79" s="276"/>
      <c r="H79" s="280" t="s">
        <v>186</v>
      </c>
      <c r="I79" s="295" t="s">
        <v>217</v>
      </c>
      <c r="J79" s="290"/>
      <c r="K79" s="290">
        <v>44</v>
      </c>
      <c r="L79" s="290"/>
      <c r="M79" s="291"/>
    </row>
    <row r="80" ht="22" customHeight="1" outlineLevel="1" collapsed="1" spans="1:13">
      <c r="A80" s="281" t="s">
        <v>269</v>
      </c>
      <c r="B80" s="282">
        <f>SUM(B81:B113)</f>
        <v>49414</v>
      </c>
      <c r="C80" s="282">
        <f>SUM(C81:C113)</f>
        <v>49414</v>
      </c>
      <c r="D80" s="282">
        <f>SUM(D81:D113)</f>
        <v>49414</v>
      </c>
      <c r="E80" s="282">
        <f>SUM(E81:E113)</f>
        <v>49414</v>
      </c>
      <c r="F80" s="282"/>
      <c r="G80" s="276"/>
      <c r="H80" s="280"/>
      <c r="I80" s="295"/>
      <c r="J80" s="290">
        <f>SUM(J81:J112)</f>
        <v>44256</v>
      </c>
      <c r="K80" s="290"/>
      <c r="L80" s="290"/>
      <c r="M80" s="291"/>
    </row>
    <row r="81" ht="22" hidden="1" customHeight="1" outlineLevel="2" spans="1:13">
      <c r="A81" s="281" t="s">
        <v>270</v>
      </c>
      <c r="B81" s="282">
        <v>1710</v>
      </c>
      <c r="C81" s="282">
        <v>1710</v>
      </c>
      <c r="D81" s="282">
        <v>1710</v>
      </c>
      <c r="E81" s="282">
        <f t="shared" si="9"/>
        <v>1710</v>
      </c>
      <c r="F81" s="282"/>
      <c r="G81" s="276"/>
      <c r="H81" s="280" t="s">
        <v>186</v>
      </c>
      <c r="I81" s="295" t="s">
        <v>271</v>
      </c>
      <c r="J81" s="290">
        <v>1710</v>
      </c>
      <c r="K81" s="290"/>
      <c r="L81" s="290"/>
      <c r="M81" s="291"/>
    </row>
    <row r="82" ht="22" hidden="1" customHeight="1" outlineLevel="2" spans="1:13">
      <c r="A82" s="281" t="s">
        <v>272</v>
      </c>
      <c r="B82" s="282">
        <v>76</v>
      </c>
      <c r="C82" s="282">
        <v>76</v>
      </c>
      <c r="D82" s="282">
        <v>76</v>
      </c>
      <c r="E82" s="282">
        <f t="shared" si="9"/>
        <v>76</v>
      </c>
      <c r="F82" s="282"/>
      <c r="G82" s="276"/>
      <c r="H82" s="280" t="s">
        <v>186</v>
      </c>
      <c r="I82" s="295" t="s">
        <v>273</v>
      </c>
      <c r="J82" s="290">
        <v>76</v>
      </c>
      <c r="K82" s="290"/>
      <c r="L82" s="290"/>
      <c r="M82" s="291"/>
    </row>
    <row r="83" ht="22" hidden="1" customHeight="1" outlineLevel="2" spans="1:13">
      <c r="A83" s="281" t="s">
        <v>274</v>
      </c>
      <c r="B83" s="282">
        <v>160</v>
      </c>
      <c r="C83" s="282">
        <v>160</v>
      </c>
      <c r="D83" s="282">
        <v>160</v>
      </c>
      <c r="E83" s="282">
        <f t="shared" si="9"/>
        <v>160</v>
      </c>
      <c r="F83" s="282"/>
      <c r="G83" s="276"/>
      <c r="H83" s="280" t="s">
        <v>186</v>
      </c>
      <c r="I83" s="295" t="s">
        <v>275</v>
      </c>
      <c r="J83" s="290">
        <v>160</v>
      </c>
      <c r="K83" s="290"/>
      <c r="L83" s="290"/>
      <c r="M83" s="291"/>
    </row>
    <row r="84" ht="22" hidden="1" customHeight="1" outlineLevel="2" spans="1:13">
      <c r="A84" s="281" t="s">
        <v>276</v>
      </c>
      <c r="B84" s="282">
        <v>13139</v>
      </c>
      <c r="C84" s="282">
        <v>13139</v>
      </c>
      <c r="D84" s="282">
        <v>13139</v>
      </c>
      <c r="E84" s="282">
        <f t="shared" si="9"/>
        <v>13139</v>
      </c>
      <c r="F84" s="282"/>
      <c r="G84" s="276"/>
      <c r="H84" s="280" t="s">
        <v>186</v>
      </c>
      <c r="I84" s="295" t="s">
        <v>277</v>
      </c>
      <c r="J84" s="290">
        <v>13139</v>
      </c>
      <c r="K84" s="290"/>
      <c r="L84" s="290"/>
      <c r="M84" s="291"/>
    </row>
    <row r="85" ht="22" hidden="1" customHeight="1" outlineLevel="2" spans="1:13">
      <c r="A85" s="281" t="s">
        <v>278</v>
      </c>
      <c r="B85" s="282">
        <v>7051</v>
      </c>
      <c r="C85" s="282">
        <v>7051</v>
      </c>
      <c r="D85" s="282">
        <v>7051</v>
      </c>
      <c r="E85" s="282">
        <f t="shared" si="9"/>
        <v>7051</v>
      </c>
      <c r="F85" s="282"/>
      <c r="G85" s="276"/>
      <c r="H85" s="280" t="s">
        <v>186</v>
      </c>
      <c r="I85" s="295" t="s">
        <v>277</v>
      </c>
      <c r="J85" s="290">
        <v>7051</v>
      </c>
      <c r="K85" s="290"/>
      <c r="L85" s="290"/>
      <c r="M85" s="291"/>
    </row>
    <row r="86" ht="22" hidden="1" customHeight="1" outlineLevel="2" spans="1:13">
      <c r="A86" s="281" t="s">
        <v>279</v>
      </c>
      <c r="B86" s="282">
        <v>5316</v>
      </c>
      <c r="C86" s="282">
        <v>5316</v>
      </c>
      <c r="D86" s="282">
        <v>5316</v>
      </c>
      <c r="E86" s="282">
        <f t="shared" si="9"/>
        <v>5316</v>
      </c>
      <c r="F86" s="282"/>
      <c r="G86" s="276"/>
      <c r="H86" s="280" t="s">
        <v>186</v>
      </c>
      <c r="I86" s="295" t="s">
        <v>277</v>
      </c>
      <c r="J86" s="290">
        <v>5316</v>
      </c>
      <c r="K86" s="290"/>
      <c r="L86" s="290"/>
      <c r="M86" s="291"/>
    </row>
    <row r="87" ht="22" hidden="1" customHeight="1" outlineLevel="2" spans="1:13">
      <c r="A87" s="281" t="s">
        <v>280</v>
      </c>
      <c r="B87" s="282">
        <v>2500</v>
      </c>
      <c r="C87" s="282">
        <v>2500</v>
      </c>
      <c r="D87" s="282">
        <v>2500</v>
      </c>
      <c r="E87" s="282">
        <f t="shared" si="9"/>
        <v>2500</v>
      </c>
      <c r="F87" s="282"/>
      <c r="G87" s="276"/>
      <c r="H87" s="280" t="s">
        <v>186</v>
      </c>
      <c r="I87" s="295" t="s">
        <v>277</v>
      </c>
      <c r="J87" s="290">
        <v>2500</v>
      </c>
      <c r="K87" s="290"/>
      <c r="L87" s="290"/>
      <c r="M87" s="291"/>
    </row>
    <row r="88" ht="22" hidden="1" customHeight="1" outlineLevel="2" spans="1:13">
      <c r="A88" s="281" t="s">
        <v>281</v>
      </c>
      <c r="B88" s="282">
        <v>2500</v>
      </c>
      <c r="C88" s="282">
        <v>2500</v>
      </c>
      <c r="D88" s="282">
        <v>2500</v>
      </c>
      <c r="E88" s="282">
        <f t="shared" si="9"/>
        <v>2500</v>
      </c>
      <c r="F88" s="282"/>
      <c r="G88" s="276"/>
      <c r="H88" s="280" t="s">
        <v>186</v>
      </c>
      <c r="I88" s="295" t="s">
        <v>277</v>
      </c>
      <c r="J88" s="290">
        <v>2500</v>
      </c>
      <c r="K88" s="290"/>
      <c r="L88" s="290"/>
      <c r="M88" s="291"/>
    </row>
    <row r="89" ht="22" hidden="1" customHeight="1" outlineLevel="2" spans="1:13">
      <c r="A89" s="281" t="s">
        <v>282</v>
      </c>
      <c r="B89" s="282">
        <v>128</v>
      </c>
      <c r="C89" s="282">
        <v>128</v>
      </c>
      <c r="D89" s="282">
        <v>128</v>
      </c>
      <c r="E89" s="282">
        <f t="shared" si="9"/>
        <v>128</v>
      </c>
      <c r="F89" s="282"/>
      <c r="G89" s="276"/>
      <c r="H89" s="280" t="s">
        <v>186</v>
      </c>
      <c r="I89" s="295" t="s">
        <v>283</v>
      </c>
      <c r="J89" s="290">
        <v>128</v>
      </c>
      <c r="K89" s="290"/>
      <c r="L89" s="290"/>
      <c r="M89" s="291"/>
    </row>
    <row r="90" ht="22" hidden="1" customHeight="1" outlineLevel="2" spans="1:13">
      <c r="A90" s="281" t="s">
        <v>284</v>
      </c>
      <c r="B90" s="282">
        <v>20</v>
      </c>
      <c r="C90" s="282">
        <v>20</v>
      </c>
      <c r="D90" s="282">
        <v>20</v>
      </c>
      <c r="E90" s="282">
        <f t="shared" si="9"/>
        <v>20</v>
      </c>
      <c r="F90" s="282"/>
      <c r="G90" s="276"/>
      <c r="H90" s="280" t="s">
        <v>186</v>
      </c>
      <c r="I90" s="295" t="s">
        <v>283</v>
      </c>
      <c r="J90" s="290">
        <v>20</v>
      </c>
      <c r="K90" s="290"/>
      <c r="L90" s="290"/>
      <c r="M90" s="291"/>
    </row>
    <row r="91" ht="22" hidden="1" customHeight="1" outlineLevel="2" spans="1:13">
      <c r="A91" s="281" t="s">
        <v>285</v>
      </c>
      <c r="B91" s="282">
        <v>10</v>
      </c>
      <c r="C91" s="282">
        <v>10</v>
      </c>
      <c r="D91" s="282">
        <v>10</v>
      </c>
      <c r="E91" s="282">
        <f t="shared" si="9"/>
        <v>10</v>
      </c>
      <c r="F91" s="282"/>
      <c r="G91" s="276"/>
      <c r="H91" s="280" t="s">
        <v>186</v>
      </c>
      <c r="I91" s="295" t="s">
        <v>283</v>
      </c>
      <c r="J91" s="290">
        <v>10</v>
      </c>
      <c r="K91" s="290"/>
      <c r="L91" s="290"/>
      <c r="M91" s="291"/>
    </row>
    <row r="92" ht="22" hidden="1" customHeight="1" outlineLevel="2" spans="1:13">
      <c r="A92" s="281" t="s">
        <v>286</v>
      </c>
      <c r="B92" s="282">
        <v>22</v>
      </c>
      <c r="C92" s="282">
        <v>22</v>
      </c>
      <c r="D92" s="282">
        <v>22</v>
      </c>
      <c r="E92" s="282">
        <f t="shared" si="9"/>
        <v>22</v>
      </c>
      <c r="F92" s="282"/>
      <c r="G92" s="276"/>
      <c r="H92" s="280" t="s">
        <v>186</v>
      </c>
      <c r="I92" s="295" t="s">
        <v>283</v>
      </c>
      <c r="J92" s="290">
        <v>22</v>
      </c>
      <c r="K92" s="290"/>
      <c r="L92" s="290"/>
      <c r="M92" s="291"/>
    </row>
    <row r="93" ht="22" hidden="1" customHeight="1" outlineLevel="2" spans="1:13">
      <c r="A93" s="281" t="s">
        <v>287</v>
      </c>
      <c r="B93" s="282">
        <v>2228</v>
      </c>
      <c r="C93" s="282">
        <v>2228</v>
      </c>
      <c r="D93" s="282">
        <v>2228</v>
      </c>
      <c r="E93" s="282">
        <f t="shared" si="9"/>
        <v>2228</v>
      </c>
      <c r="F93" s="282"/>
      <c r="G93" s="276"/>
      <c r="H93" s="280" t="s">
        <v>186</v>
      </c>
      <c r="I93" s="295" t="s">
        <v>283</v>
      </c>
      <c r="J93" s="290">
        <v>2228</v>
      </c>
      <c r="K93" s="290"/>
      <c r="L93" s="290"/>
      <c r="M93" s="291"/>
    </row>
    <row r="94" ht="22" hidden="1" customHeight="1" outlineLevel="2" spans="1:13">
      <c r="A94" s="281" t="s">
        <v>288</v>
      </c>
      <c r="B94" s="282">
        <v>-539</v>
      </c>
      <c r="C94" s="282">
        <v>-539</v>
      </c>
      <c r="D94" s="282">
        <v>-539</v>
      </c>
      <c r="E94" s="282">
        <f t="shared" si="9"/>
        <v>-539</v>
      </c>
      <c r="F94" s="282"/>
      <c r="G94" s="276"/>
      <c r="H94" s="280" t="s">
        <v>186</v>
      </c>
      <c r="I94" s="295" t="s">
        <v>283</v>
      </c>
      <c r="J94" s="290">
        <v>-539</v>
      </c>
      <c r="K94" s="290"/>
      <c r="L94" s="290"/>
      <c r="M94" s="291"/>
    </row>
    <row r="95" ht="22" hidden="1" customHeight="1" outlineLevel="2" spans="1:13">
      <c r="A95" s="281" t="s">
        <v>289</v>
      </c>
      <c r="B95" s="282">
        <v>291</v>
      </c>
      <c r="C95" s="282">
        <v>291</v>
      </c>
      <c r="D95" s="282">
        <v>291</v>
      </c>
      <c r="E95" s="282">
        <f t="shared" si="9"/>
        <v>291</v>
      </c>
      <c r="F95" s="282"/>
      <c r="G95" s="276"/>
      <c r="H95" s="280" t="s">
        <v>186</v>
      </c>
      <c r="I95" s="295" t="s">
        <v>283</v>
      </c>
      <c r="J95" s="290">
        <v>291</v>
      </c>
      <c r="K95" s="290"/>
      <c r="L95" s="290"/>
      <c r="M95" s="291"/>
    </row>
    <row r="96" ht="22" hidden="1" customHeight="1" outlineLevel="2" spans="1:13">
      <c r="A96" s="281" t="s">
        <v>290</v>
      </c>
      <c r="B96" s="282">
        <v>2641</v>
      </c>
      <c r="C96" s="282">
        <v>2641</v>
      </c>
      <c r="D96" s="282">
        <v>2641</v>
      </c>
      <c r="E96" s="282">
        <f t="shared" si="9"/>
        <v>2641</v>
      </c>
      <c r="F96" s="282"/>
      <c r="G96" s="276"/>
      <c r="H96" s="280" t="s">
        <v>186</v>
      </c>
      <c r="I96" s="295" t="s">
        <v>283</v>
      </c>
      <c r="J96" s="290">
        <v>2641</v>
      </c>
      <c r="K96" s="290"/>
      <c r="L96" s="290"/>
      <c r="M96" s="291"/>
    </row>
    <row r="97" ht="22" hidden="1" customHeight="1" outlineLevel="2" spans="1:13">
      <c r="A97" s="281" t="s">
        <v>291</v>
      </c>
      <c r="B97" s="282">
        <v>1901</v>
      </c>
      <c r="C97" s="282">
        <v>1901</v>
      </c>
      <c r="D97" s="282">
        <v>1901</v>
      </c>
      <c r="E97" s="282">
        <f t="shared" si="9"/>
        <v>1901</v>
      </c>
      <c r="F97" s="282"/>
      <c r="G97" s="276"/>
      <c r="H97" s="280" t="s">
        <v>208</v>
      </c>
      <c r="I97" s="296" t="s">
        <v>209</v>
      </c>
      <c r="J97" s="290">
        <v>1901</v>
      </c>
      <c r="K97" s="290"/>
      <c r="L97" s="290"/>
      <c r="M97" s="291"/>
    </row>
    <row r="98" ht="22" hidden="1" customHeight="1" outlineLevel="2" spans="1:13">
      <c r="A98" s="281" t="s">
        <v>292</v>
      </c>
      <c r="B98" s="282">
        <v>971</v>
      </c>
      <c r="C98" s="282">
        <v>971</v>
      </c>
      <c r="D98" s="282">
        <v>971</v>
      </c>
      <c r="E98" s="282">
        <f t="shared" si="9"/>
        <v>971</v>
      </c>
      <c r="F98" s="282"/>
      <c r="G98" s="276"/>
      <c r="H98" s="280" t="s">
        <v>208</v>
      </c>
      <c r="I98" s="296" t="s">
        <v>209</v>
      </c>
      <c r="J98" s="290">
        <v>971</v>
      </c>
      <c r="K98" s="290"/>
      <c r="L98" s="290"/>
      <c r="M98" s="291"/>
    </row>
    <row r="99" ht="22" hidden="1" customHeight="1" outlineLevel="2" spans="1:13">
      <c r="A99" s="281" t="s">
        <v>293</v>
      </c>
      <c r="B99" s="282">
        <v>717</v>
      </c>
      <c r="C99" s="282">
        <v>717</v>
      </c>
      <c r="D99" s="282">
        <v>717</v>
      </c>
      <c r="E99" s="282">
        <f t="shared" si="9"/>
        <v>717</v>
      </c>
      <c r="F99" s="282"/>
      <c r="G99" s="276"/>
      <c r="H99" s="280" t="s">
        <v>208</v>
      </c>
      <c r="I99" s="296" t="s">
        <v>209</v>
      </c>
      <c r="J99" s="290">
        <v>717</v>
      </c>
      <c r="K99" s="290"/>
      <c r="L99" s="290"/>
      <c r="M99" s="291"/>
    </row>
    <row r="100" ht="22" hidden="1" customHeight="1" outlineLevel="2" spans="1:13">
      <c r="A100" s="281" t="s">
        <v>294</v>
      </c>
      <c r="B100" s="282">
        <v>10</v>
      </c>
      <c r="C100" s="282">
        <v>10</v>
      </c>
      <c r="D100" s="282">
        <v>10</v>
      </c>
      <c r="E100" s="282">
        <f t="shared" si="9"/>
        <v>10</v>
      </c>
      <c r="F100" s="282"/>
      <c r="G100" s="276"/>
      <c r="H100" s="280" t="s">
        <v>208</v>
      </c>
      <c r="I100" s="296" t="s">
        <v>209</v>
      </c>
      <c r="J100" s="290">
        <v>10</v>
      </c>
      <c r="K100" s="290"/>
      <c r="L100" s="290"/>
      <c r="M100" s="291"/>
    </row>
    <row r="101" ht="22" hidden="1" customHeight="1" outlineLevel="2" spans="1:13">
      <c r="A101" s="281" t="s">
        <v>295</v>
      </c>
      <c r="B101" s="282">
        <v>6</v>
      </c>
      <c r="C101" s="282">
        <v>6</v>
      </c>
      <c r="D101" s="282">
        <v>6</v>
      </c>
      <c r="E101" s="282">
        <f t="shared" si="9"/>
        <v>6</v>
      </c>
      <c r="F101" s="282"/>
      <c r="G101" s="276"/>
      <c r="H101" s="280" t="s">
        <v>208</v>
      </c>
      <c r="I101" s="296" t="s">
        <v>209</v>
      </c>
      <c r="J101" s="290">
        <v>6</v>
      </c>
      <c r="K101" s="290"/>
      <c r="L101" s="290"/>
      <c r="M101" s="291"/>
    </row>
    <row r="102" ht="22" hidden="1" customHeight="1" outlineLevel="2" spans="1:13">
      <c r="A102" s="281" t="s">
        <v>296</v>
      </c>
      <c r="B102" s="282">
        <v>261</v>
      </c>
      <c r="C102" s="282">
        <v>261</v>
      </c>
      <c r="D102" s="282">
        <v>261</v>
      </c>
      <c r="E102" s="282">
        <f t="shared" si="9"/>
        <v>261</v>
      </c>
      <c r="F102" s="282"/>
      <c r="G102" s="276"/>
      <c r="H102" s="280" t="s">
        <v>208</v>
      </c>
      <c r="I102" s="296" t="s">
        <v>209</v>
      </c>
      <c r="J102" s="290">
        <v>261</v>
      </c>
      <c r="K102" s="290"/>
      <c r="L102" s="290"/>
      <c r="M102" s="291"/>
    </row>
    <row r="103" ht="22" hidden="1" customHeight="1" outlineLevel="2" spans="1:13">
      <c r="A103" s="281" t="s">
        <v>297</v>
      </c>
      <c r="B103" s="282">
        <v>1251</v>
      </c>
      <c r="C103" s="282">
        <v>1251</v>
      </c>
      <c r="D103" s="282">
        <v>1251</v>
      </c>
      <c r="E103" s="282">
        <f t="shared" si="9"/>
        <v>1251</v>
      </c>
      <c r="F103" s="282"/>
      <c r="G103" s="276"/>
      <c r="H103" s="280" t="s">
        <v>208</v>
      </c>
      <c r="I103" s="296" t="s">
        <v>209</v>
      </c>
      <c r="J103" s="290">
        <v>1251</v>
      </c>
      <c r="K103" s="290"/>
      <c r="L103" s="290"/>
      <c r="M103" s="291"/>
    </row>
    <row r="104" ht="22" hidden="1" customHeight="1" outlineLevel="2" spans="1:13">
      <c r="A104" s="281" t="s">
        <v>298</v>
      </c>
      <c r="B104" s="282">
        <v>95</v>
      </c>
      <c r="C104" s="282">
        <v>95</v>
      </c>
      <c r="D104" s="282">
        <v>95</v>
      </c>
      <c r="E104" s="282">
        <f t="shared" si="9"/>
        <v>95</v>
      </c>
      <c r="F104" s="282"/>
      <c r="G104" s="276"/>
      <c r="H104" s="280" t="s">
        <v>208</v>
      </c>
      <c r="I104" s="296" t="s">
        <v>209</v>
      </c>
      <c r="J104" s="290">
        <v>95</v>
      </c>
      <c r="K104" s="290"/>
      <c r="L104" s="290"/>
      <c r="M104" s="291"/>
    </row>
    <row r="105" ht="22" hidden="1" customHeight="1" outlineLevel="2" spans="1:13">
      <c r="A105" s="281" t="s">
        <v>299</v>
      </c>
      <c r="B105" s="282">
        <v>94</v>
      </c>
      <c r="C105" s="282">
        <v>94</v>
      </c>
      <c r="D105" s="282">
        <v>94</v>
      </c>
      <c r="E105" s="282">
        <f t="shared" si="9"/>
        <v>94</v>
      </c>
      <c r="F105" s="282"/>
      <c r="G105" s="276"/>
      <c r="H105" s="280" t="s">
        <v>208</v>
      </c>
      <c r="I105" s="296" t="s">
        <v>209</v>
      </c>
      <c r="J105" s="290">
        <v>94</v>
      </c>
      <c r="K105" s="290"/>
      <c r="L105" s="290"/>
      <c r="M105" s="291"/>
    </row>
    <row r="106" ht="22" hidden="1" customHeight="1" outlineLevel="2" spans="1:13">
      <c r="A106" s="281" t="s">
        <v>300</v>
      </c>
      <c r="B106" s="282">
        <v>292</v>
      </c>
      <c r="C106" s="282">
        <v>292</v>
      </c>
      <c r="D106" s="282">
        <v>292</v>
      </c>
      <c r="E106" s="282">
        <f t="shared" si="9"/>
        <v>292</v>
      </c>
      <c r="F106" s="282"/>
      <c r="G106" s="276"/>
      <c r="H106" s="280" t="s">
        <v>208</v>
      </c>
      <c r="I106" s="296" t="s">
        <v>209</v>
      </c>
      <c r="J106" s="290">
        <v>292</v>
      </c>
      <c r="K106" s="290"/>
      <c r="L106" s="290"/>
      <c r="M106" s="291"/>
    </row>
    <row r="107" ht="22" hidden="1" customHeight="1" outlineLevel="2" spans="1:13">
      <c r="A107" s="281" t="s">
        <v>301</v>
      </c>
      <c r="B107" s="282">
        <v>109</v>
      </c>
      <c r="C107" s="282">
        <v>109</v>
      </c>
      <c r="D107" s="282">
        <v>109</v>
      </c>
      <c r="E107" s="282">
        <f t="shared" si="9"/>
        <v>109</v>
      </c>
      <c r="F107" s="282"/>
      <c r="G107" s="276"/>
      <c r="H107" s="280" t="s">
        <v>208</v>
      </c>
      <c r="I107" s="296" t="s">
        <v>209</v>
      </c>
      <c r="J107" s="290">
        <v>109</v>
      </c>
      <c r="K107" s="290"/>
      <c r="L107" s="290"/>
      <c r="M107" s="291"/>
    </row>
    <row r="108" ht="22" hidden="1" customHeight="1" outlineLevel="2" spans="1:13">
      <c r="A108" s="281" t="s">
        <v>302</v>
      </c>
      <c r="B108" s="282">
        <v>196</v>
      </c>
      <c r="C108" s="282">
        <v>196</v>
      </c>
      <c r="D108" s="282">
        <v>196</v>
      </c>
      <c r="E108" s="282">
        <f t="shared" si="9"/>
        <v>196</v>
      </c>
      <c r="F108" s="282"/>
      <c r="G108" s="276"/>
      <c r="H108" s="280" t="s">
        <v>208</v>
      </c>
      <c r="I108" s="296" t="s">
        <v>209</v>
      </c>
      <c r="J108" s="290">
        <v>196</v>
      </c>
      <c r="K108" s="290"/>
      <c r="L108" s="290"/>
      <c r="M108" s="291"/>
    </row>
    <row r="109" ht="22" hidden="1" customHeight="1" outlineLevel="2" spans="1:13">
      <c r="A109" s="281" t="s">
        <v>303</v>
      </c>
      <c r="B109" s="282">
        <v>229</v>
      </c>
      <c r="C109" s="282">
        <v>229</v>
      </c>
      <c r="D109" s="282">
        <v>229</v>
      </c>
      <c r="E109" s="282">
        <f t="shared" si="9"/>
        <v>229</v>
      </c>
      <c r="F109" s="282"/>
      <c r="G109" s="276"/>
      <c r="H109" s="280" t="s">
        <v>208</v>
      </c>
      <c r="I109" s="296" t="s">
        <v>209</v>
      </c>
      <c r="J109" s="290">
        <v>229</v>
      </c>
      <c r="K109" s="290"/>
      <c r="L109" s="290"/>
      <c r="M109" s="291"/>
    </row>
    <row r="110" ht="22" hidden="1" customHeight="1" outlineLevel="2" spans="1:13">
      <c r="A110" s="281" t="s">
        <v>304</v>
      </c>
      <c r="B110" s="282">
        <v>155</v>
      </c>
      <c r="C110" s="282">
        <v>155</v>
      </c>
      <c r="D110" s="282">
        <v>155</v>
      </c>
      <c r="E110" s="282">
        <f t="shared" si="9"/>
        <v>155</v>
      </c>
      <c r="F110" s="282"/>
      <c r="G110" s="276"/>
      <c r="H110" s="280" t="s">
        <v>208</v>
      </c>
      <c r="I110" s="296" t="s">
        <v>209</v>
      </c>
      <c r="J110" s="290">
        <v>155</v>
      </c>
      <c r="K110" s="290"/>
      <c r="L110" s="290"/>
      <c r="M110" s="291"/>
    </row>
    <row r="111" ht="22" hidden="1" customHeight="1" outlineLevel="2" spans="1:13">
      <c r="A111" s="281" t="s">
        <v>305</v>
      </c>
      <c r="B111" s="282">
        <v>684</v>
      </c>
      <c r="C111" s="282">
        <v>684</v>
      </c>
      <c r="D111" s="282">
        <v>684</v>
      </c>
      <c r="E111" s="282">
        <f t="shared" si="9"/>
        <v>684</v>
      </c>
      <c r="F111" s="282"/>
      <c r="G111" s="276"/>
      <c r="H111" s="280" t="s">
        <v>208</v>
      </c>
      <c r="I111" s="296" t="s">
        <v>209</v>
      </c>
      <c r="J111" s="290">
        <v>684</v>
      </c>
      <c r="K111" s="290"/>
      <c r="L111" s="290"/>
      <c r="M111" s="291"/>
    </row>
    <row r="112" ht="22" hidden="1" customHeight="1" outlineLevel="2" spans="1:13">
      <c r="A112" s="281" t="s">
        <v>306</v>
      </c>
      <c r="B112" s="282">
        <v>32</v>
      </c>
      <c r="C112" s="282">
        <v>32</v>
      </c>
      <c r="D112" s="282">
        <v>32</v>
      </c>
      <c r="E112" s="282">
        <f t="shared" si="9"/>
        <v>32</v>
      </c>
      <c r="F112" s="282"/>
      <c r="G112" s="276"/>
      <c r="H112" s="280" t="s">
        <v>208</v>
      </c>
      <c r="I112" s="296" t="s">
        <v>209</v>
      </c>
      <c r="J112" s="290">
        <v>32</v>
      </c>
      <c r="K112" s="290"/>
      <c r="L112" s="290"/>
      <c r="M112" s="291"/>
    </row>
    <row r="113" ht="22" hidden="1" customHeight="1" outlineLevel="2" spans="1:13">
      <c r="A113" s="281" t="s">
        <v>307</v>
      </c>
      <c r="B113" s="282">
        <v>5158</v>
      </c>
      <c r="C113" s="282">
        <v>5158</v>
      </c>
      <c r="D113" s="282">
        <v>5158</v>
      </c>
      <c r="E113" s="282">
        <f t="shared" si="9"/>
        <v>5158</v>
      </c>
      <c r="F113" s="282"/>
      <c r="G113" s="276"/>
      <c r="H113" s="280" t="s">
        <v>208</v>
      </c>
      <c r="I113" s="296" t="s">
        <v>209</v>
      </c>
      <c r="J113" s="290">
        <v>5158</v>
      </c>
      <c r="K113" s="290"/>
      <c r="L113" s="290"/>
      <c r="M113" s="291"/>
    </row>
    <row r="114" ht="22" customHeight="1" outlineLevel="1" collapsed="1" spans="1:13">
      <c r="A114" s="281" t="s">
        <v>308</v>
      </c>
      <c r="B114" s="282">
        <f>B115</f>
        <v>1656</v>
      </c>
      <c r="C114" s="282">
        <f>C115</f>
        <v>1656</v>
      </c>
      <c r="D114" s="282">
        <f>SUM(D115)</f>
        <v>1499</v>
      </c>
      <c r="E114" s="282">
        <f>SUM(E115)</f>
        <v>1499</v>
      </c>
      <c r="F114" s="282"/>
      <c r="G114" s="276"/>
      <c r="H114" s="280"/>
      <c r="I114" s="295"/>
      <c r="K114" s="290"/>
      <c r="L114" s="290"/>
      <c r="M114" s="291"/>
    </row>
    <row r="115" ht="22" hidden="1" customHeight="1" outlineLevel="2" spans="1:13">
      <c r="A115" s="281" t="s">
        <v>309</v>
      </c>
      <c r="B115" s="282">
        <v>1656</v>
      </c>
      <c r="C115" s="282">
        <v>1656</v>
      </c>
      <c r="D115" s="282">
        <v>1499</v>
      </c>
      <c r="E115" s="282">
        <f>D115</f>
        <v>1499</v>
      </c>
      <c r="F115" s="282"/>
      <c r="G115" s="276"/>
      <c r="H115" s="280" t="s">
        <v>186</v>
      </c>
      <c r="I115" s="295" t="s">
        <v>217</v>
      </c>
      <c r="J115" s="290">
        <v>1499</v>
      </c>
      <c r="K115" s="290"/>
      <c r="L115" s="290"/>
      <c r="M115" s="291"/>
    </row>
    <row r="116" ht="22" customHeight="1" outlineLevel="1" collapsed="1" spans="1:13">
      <c r="A116" s="281" t="s">
        <v>310</v>
      </c>
      <c r="B116" s="282">
        <f>B117</f>
        <v>6000</v>
      </c>
      <c r="C116" s="282">
        <f>C117</f>
        <v>6000</v>
      </c>
      <c r="D116" s="282">
        <f>SUM(D117)</f>
        <v>2226</v>
      </c>
      <c r="E116" s="276"/>
      <c r="F116" s="282">
        <f>SUM(F117)</f>
        <v>2226</v>
      </c>
      <c r="G116" s="276"/>
      <c r="H116" s="280"/>
      <c r="J116" s="290"/>
      <c r="K116" s="290"/>
      <c r="L116" s="298"/>
      <c r="M116" s="298"/>
    </row>
    <row r="117" ht="22" hidden="1" customHeight="1" outlineLevel="2" spans="1:13">
      <c r="A117" s="281" t="s">
        <v>311</v>
      </c>
      <c r="B117" s="282">
        <v>6000</v>
      </c>
      <c r="C117" s="282">
        <v>6000</v>
      </c>
      <c r="D117" s="282">
        <v>2226</v>
      </c>
      <c r="E117" s="276"/>
      <c r="F117" s="282">
        <f>D117</f>
        <v>2226</v>
      </c>
      <c r="G117" s="276"/>
      <c r="H117" s="280" t="s">
        <v>312</v>
      </c>
      <c r="I117" s="299" t="s">
        <v>265</v>
      </c>
      <c r="J117" s="290"/>
      <c r="K117" s="290">
        <v>2226</v>
      </c>
      <c r="L117" s="298">
        <v>21305</v>
      </c>
      <c r="M117" s="298"/>
    </row>
    <row r="118" ht="22" customHeight="1" outlineLevel="1" collapsed="1" spans="1:13">
      <c r="A118" s="281" t="s">
        <v>313</v>
      </c>
      <c r="B118" s="282">
        <f t="shared" ref="B118:F118" si="10">SUM(B119:B123)</f>
        <v>3452</v>
      </c>
      <c r="C118" s="282">
        <f t="shared" si="10"/>
        <v>3452</v>
      </c>
      <c r="D118" s="282">
        <f t="shared" si="10"/>
        <v>3874</v>
      </c>
      <c r="E118" s="282">
        <f t="shared" si="10"/>
        <v>3874</v>
      </c>
      <c r="F118" s="282">
        <f t="shared" si="10"/>
        <v>0</v>
      </c>
      <c r="G118" s="276"/>
      <c r="H118" s="280"/>
      <c r="I118" s="300"/>
      <c r="J118" s="290"/>
      <c r="K118" s="290"/>
      <c r="L118" s="298"/>
      <c r="M118" s="298"/>
    </row>
    <row r="119" ht="22" hidden="1" customHeight="1" outlineLevel="2" spans="1:13">
      <c r="A119" s="281" t="s">
        <v>314</v>
      </c>
      <c r="B119" s="282">
        <v>2812</v>
      </c>
      <c r="C119" s="282">
        <v>2812</v>
      </c>
      <c r="D119" s="282">
        <v>1839</v>
      </c>
      <c r="E119" s="282">
        <v>1839</v>
      </c>
      <c r="F119" s="282"/>
      <c r="G119" s="276"/>
      <c r="H119" s="280" t="s">
        <v>315</v>
      </c>
      <c r="I119" s="295" t="s">
        <v>265</v>
      </c>
      <c r="J119" s="290"/>
      <c r="K119" s="290">
        <v>1839</v>
      </c>
      <c r="L119" s="298">
        <v>204</v>
      </c>
      <c r="M119" s="298"/>
    </row>
    <row r="120" ht="22" hidden="1" customHeight="1" outlineLevel="2" spans="1:13">
      <c r="A120" s="281" t="s">
        <v>316</v>
      </c>
      <c r="B120" s="282"/>
      <c r="C120" s="282"/>
      <c r="D120" s="282">
        <v>2035</v>
      </c>
      <c r="E120" s="282">
        <v>2035</v>
      </c>
      <c r="F120" s="282"/>
      <c r="G120" s="276"/>
      <c r="H120" s="280" t="s">
        <v>315</v>
      </c>
      <c r="I120" s="295" t="s">
        <v>265</v>
      </c>
      <c r="J120" s="290"/>
      <c r="K120" s="290">
        <v>2035</v>
      </c>
      <c r="L120" s="298">
        <v>204</v>
      </c>
      <c r="M120" s="298"/>
    </row>
    <row r="121" ht="22" hidden="1" customHeight="1" outlineLevel="2" spans="1:13">
      <c r="A121" s="281" t="s">
        <v>317</v>
      </c>
      <c r="B121" s="282">
        <v>427</v>
      </c>
      <c r="C121" s="282">
        <v>427</v>
      </c>
      <c r="D121" s="282"/>
      <c r="E121" s="282"/>
      <c r="F121" s="282"/>
      <c r="G121" s="276"/>
      <c r="H121" s="297"/>
      <c r="I121" s="295"/>
      <c r="J121" s="290"/>
      <c r="K121" s="290"/>
      <c r="L121" s="298"/>
      <c r="M121" s="298" t="s">
        <v>318</v>
      </c>
    </row>
    <row r="122" ht="22" hidden="1" customHeight="1" outlineLevel="2" spans="1:13">
      <c r="A122" s="281" t="s">
        <v>319</v>
      </c>
      <c r="B122" s="282">
        <v>66</v>
      </c>
      <c r="C122" s="282">
        <v>66</v>
      </c>
      <c r="D122" s="282"/>
      <c r="E122" s="282"/>
      <c r="F122" s="282"/>
      <c r="G122" s="276"/>
      <c r="H122" s="297"/>
      <c r="I122" s="295"/>
      <c r="J122" s="290"/>
      <c r="K122" s="290"/>
      <c r="L122" s="298"/>
      <c r="M122" s="298"/>
    </row>
    <row r="123" ht="22" hidden="1" customHeight="1" outlineLevel="2" spans="1:13">
      <c r="A123" s="281" t="s">
        <v>320</v>
      </c>
      <c r="B123" s="282">
        <v>147</v>
      </c>
      <c r="C123" s="282">
        <v>147</v>
      </c>
      <c r="D123" s="282"/>
      <c r="E123" s="282"/>
      <c r="F123" s="282"/>
      <c r="G123" s="276"/>
      <c r="H123" s="297"/>
      <c r="I123" s="295"/>
      <c r="J123" s="290"/>
      <c r="K123" s="290"/>
      <c r="L123" s="298"/>
      <c r="M123" s="298"/>
    </row>
    <row r="124" ht="22" customHeight="1" outlineLevel="1" collapsed="1" spans="1:13">
      <c r="A124" s="281" t="s">
        <v>321</v>
      </c>
      <c r="B124" s="282">
        <f t="shared" ref="B124:F124" si="11">SUM(B125:B138)</f>
        <v>17311</v>
      </c>
      <c r="C124" s="282">
        <f t="shared" si="11"/>
        <v>17311</v>
      </c>
      <c r="D124" s="282">
        <f t="shared" si="11"/>
        <v>20357</v>
      </c>
      <c r="E124" s="282">
        <f t="shared" si="11"/>
        <v>11701</v>
      </c>
      <c r="F124" s="282">
        <f t="shared" si="11"/>
        <v>8656</v>
      </c>
      <c r="G124" s="276"/>
      <c r="H124" s="297">
        <f>11701-7924</f>
        <v>3777</v>
      </c>
      <c r="I124" s="295"/>
      <c r="J124" s="290"/>
      <c r="K124" s="290"/>
      <c r="L124" s="298"/>
      <c r="M124" s="298"/>
    </row>
    <row r="125" ht="22" hidden="1" customHeight="1" outlineLevel="2" spans="1:13">
      <c r="A125" s="281" t="s">
        <v>322</v>
      </c>
      <c r="B125" s="282">
        <v>11276</v>
      </c>
      <c r="C125" s="282">
        <v>11276</v>
      </c>
      <c r="D125" s="282">
        <v>11701</v>
      </c>
      <c r="E125" s="282">
        <v>11701</v>
      </c>
      <c r="F125" s="282"/>
      <c r="G125" s="276"/>
      <c r="H125" s="280" t="s">
        <v>323</v>
      </c>
      <c r="I125" s="295" t="s">
        <v>265</v>
      </c>
      <c r="J125" s="290"/>
      <c r="K125" s="290">
        <v>11701</v>
      </c>
      <c r="L125" s="298">
        <v>205</v>
      </c>
      <c r="M125" s="298">
        <v>20502</v>
      </c>
    </row>
    <row r="126" ht="22" hidden="1" customHeight="1" outlineLevel="2" spans="1:13">
      <c r="A126" s="281" t="s">
        <v>324</v>
      </c>
      <c r="B126" s="282">
        <v>24</v>
      </c>
      <c r="C126" s="282">
        <v>24</v>
      </c>
      <c r="D126" s="282"/>
      <c r="E126" s="282"/>
      <c r="F126" s="282"/>
      <c r="G126" s="276"/>
      <c r="H126" s="297"/>
      <c r="I126" s="295"/>
      <c r="J126" s="290"/>
      <c r="K126" s="290"/>
      <c r="L126" s="298"/>
      <c r="M126" s="298"/>
    </row>
    <row r="127" ht="22" hidden="1" customHeight="1" outlineLevel="2" spans="1:13">
      <c r="A127" s="281" t="s">
        <v>322</v>
      </c>
      <c r="B127" s="282">
        <v>983</v>
      </c>
      <c r="C127" s="282">
        <v>983</v>
      </c>
      <c r="D127" s="282"/>
      <c r="E127" s="282"/>
      <c r="F127" s="282"/>
      <c r="G127" s="276"/>
      <c r="H127" s="280"/>
      <c r="I127" s="295"/>
      <c r="J127" s="290"/>
      <c r="K127" s="290"/>
      <c r="L127" s="298"/>
      <c r="M127" s="298"/>
    </row>
    <row r="128" ht="22" hidden="1" customHeight="1" outlineLevel="2" spans="1:13">
      <c r="A128" s="281" t="s">
        <v>325</v>
      </c>
      <c r="B128" s="282">
        <v>465</v>
      </c>
      <c r="C128" s="282">
        <v>465</v>
      </c>
      <c r="D128" s="282"/>
      <c r="E128" s="282"/>
      <c r="F128" s="282"/>
      <c r="G128" s="276"/>
      <c r="H128" s="297"/>
      <c r="I128" s="295"/>
      <c r="J128" s="290"/>
      <c r="K128" s="290"/>
      <c r="L128" s="298"/>
      <c r="M128" s="298"/>
    </row>
    <row r="129" ht="22" hidden="1" customHeight="1" outlineLevel="2" spans="1:13">
      <c r="A129" s="281" t="s">
        <v>324</v>
      </c>
      <c r="B129" s="282">
        <v>162</v>
      </c>
      <c r="C129" s="282">
        <v>162</v>
      </c>
      <c r="D129" s="282"/>
      <c r="E129" s="282"/>
      <c r="F129" s="282"/>
      <c r="G129" s="276"/>
      <c r="H129" s="297"/>
      <c r="I129" s="295"/>
      <c r="J129" s="290"/>
      <c r="K129" s="290"/>
      <c r="L129" s="298"/>
      <c r="M129" s="298"/>
    </row>
    <row r="130" ht="22" hidden="1" customHeight="1" outlineLevel="2" spans="1:13">
      <c r="A130" s="281" t="s">
        <v>326</v>
      </c>
      <c r="B130" s="282">
        <v>474</v>
      </c>
      <c r="C130" s="282">
        <v>474</v>
      </c>
      <c r="D130" s="282"/>
      <c r="E130" s="282"/>
      <c r="F130" s="282"/>
      <c r="G130" s="276"/>
      <c r="H130" s="297"/>
      <c r="I130" s="295"/>
      <c r="J130" s="290"/>
      <c r="K130" s="290"/>
      <c r="L130" s="298"/>
      <c r="M130" s="298"/>
    </row>
    <row r="131" ht="22" hidden="1" customHeight="1" outlineLevel="2" spans="1:13">
      <c r="A131" s="281" t="s">
        <v>327</v>
      </c>
      <c r="B131" s="282">
        <v>723</v>
      </c>
      <c r="C131" s="282">
        <v>723</v>
      </c>
      <c r="D131" s="282">
        <v>727</v>
      </c>
      <c r="E131" s="282"/>
      <c r="F131" s="282">
        <v>727</v>
      </c>
      <c r="G131" s="276"/>
      <c r="H131" s="280" t="s">
        <v>328</v>
      </c>
      <c r="I131" s="295" t="s">
        <v>265</v>
      </c>
      <c r="J131" s="290"/>
      <c r="K131" s="290">
        <v>727</v>
      </c>
      <c r="L131" s="298">
        <v>205</v>
      </c>
      <c r="M131" s="298">
        <v>20502</v>
      </c>
    </row>
    <row r="132" ht="22" hidden="1" customHeight="1" outlineLevel="2" spans="1:13">
      <c r="A132" s="281" t="s">
        <v>325</v>
      </c>
      <c r="B132" s="282">
        <v>2079</v>
      </c>
      <c r="C132" s="282">
        <v>2079</v>
      </c>
      <c r="D132" s="282">
        <v>2364</v>
      </c>
      <c r="E132" s="282"/>
      <c r="F132" s="282">
        <f>D132</f>
        <v>2364</v>
      </c>
      <c r="G132" s="276"/>
      <c r="H132" s="280" t="s">
        <v>329</v>
      </c>
      <c r="I132" s="295" t="s">
        <v>265</v>
      </c>
      <c r="J132" s="290"/>
      <c r="K132" s="290">
        <v>2364</v>
      </c>
      <c r="L132" s="298">
        <v>205</v>
      </c>
      <c r="M132" s="298">
        <v>20502</v>
      </c>
    </row>
    <row r="133" ht="22" hidden="1" customHeight="1" outlineLevel="2" spans="1:13">
      <c r="A133" s="281" t="s">
        <v>324</v>
      </c>
      <c r="B133" s="282">
        <v>1493</v>
      </c>
      <c r="C133" s="282">
        <v>1493</v>
      </c>
      <c r="D133" s="282">
        <v>1518</v>
      </c>
      <c r="E133" s="282"/>
      <c r="F133" s="282">
        <v>1518</v>
      </c>
      <c r="G133" s="276"/>
      <c r="H133" s="280" t="s">
        <v>330</v>
      </c>
      <c r="I133" s="295" t="s">
        <v>265</v>
      </c>
      <c r="J133" s="290"/>
      <c r="K133" s="290">
        <v>1518</v>
      </c>
      <c r="L133" s="298">
        <v>205</v>
      </c>
      <c r="M133" s="298">
        <v>2050201</v>
      </c>
    </row>
    <row r="134" ht="22" hidden="1" customHeight="1" outlineLevel="2" spans="1:13">
      <c r="A134" s="281" t="s">
        <v>326</v>
      </c>
      <c r="B134" s="282">
        <v>-368</v>
      </c>
      <c r="C134" s="282">
        <v>-368</v>
      </c>
      <c r="D134" s="282"/>
      <c r="E134" s="282"/>
      <c r="F134" s="282"/>
      <c r="G134" s="276"/>
      <c r="H134" s="297"/>
      <c r="I134" s="295"/>
      <c r="J134" s="290"/>
      <c r="K134" s="290"/>
      <c r="L134" s="298"/>
      <c r="M134" s="298"/>
    </row>
    <row r="135" ht="22" hidden="1" customHeight="1" outlineLevel="2" spans="1:13">
      <c r="A135" s="281" t="s">
        <v>327</v>
      </c>
      <c r="B135" s="282">
        <v>-20</v>
      </c>
      <c r="C135" s="282">
        <v>-20</v>
      </c>
      <c r="D135" s="282"/>
      <c r="E135" s="282"/>
      <c r="F135" s="282"/>
      <c r="G135" s="276"/>
      <c r="H135" s="297"/>
      <c r="I135" s="295"/>
      <c r="J135" s="290"/>
      <c r="K135" s="290"/>
      <c r="L135" s="298"/>
      <c r="M135" s="298"/>
    </row>
    <row r="136" ht="22" hidden="1" customHeight="1" outlineLevel="2" spans="1:13">
      <c r="A136" s="281" t="s">
        <v>331</v>
      </c>
      <c r="B136" s="282">
        <v>11</v>
      </c>
      <c r="C136" s="282">
        <v>11</v>
      </c>
      <c r="D136" s="282"/>
      <c r="E136" s="282"/>
      <c r="F136" s="282"/>
      <c r="G136" s="276"/>
      <c r="H136" s="297"/>
      <c r="I136" s="295"/>
      <c r="J136" s="290"/>
      <c r="K136" s="290"/>
      <c r="L136" s="298"/>
      <c r="M136" s="298"/>
    </row>
    <row r="137" ht="22" hidden="1" customHeight="1" outlineLevel="2" spans="1:13">
      <c r="A137" s="281" t="s">
        <v>332</v>
      </c>
      <c r="B137" s="282">
        <v>9</v>
      </c>
      <c r="C137" s="282">
        <v>9</v>
      </c>
      <c r="D137" s="282"/>
      <c r="E137" s="282"/>
      <c r="F137" s="282"/>
      <c r="G137" s="276"/>
      <c r="H137" s="297"/>
      <c r="I137" s="295"/>
      <c r="J137" s="290"/>
      <c r="K137" s="290"/>
      <c r="L137" s="298"/>
      <c r="M137" s="298"/>
    </row>
    <row r="138" ht="22" hidden="1" customHeight="1" outlineLevel="2" spans="1:13">
      <c r="A138" s="301" t="s">
        <v>333</v>
      </c>
      <c r="B138" s="282"/>
      <c r="C138" s="282"/>
      <c r="D138" s="282">
        <v>4047</v>
      </c>
      <c r="E138" s="282"/>
      <c r="F138" s="282">
        <v>4047</v>
      </c>
      <c r="G138" s="276"/>
      <c r="H138" s="280" t="s">
        <v>334</v>
      </c>
      <c r="I138" s="295" t="s">
        <v>265</v>
      </c>
      <c r="J138" s="290"/>
      <c r="K138" s="290">
        <v>4047</v>
      </c>
      <c r="L138" s="298">
        <v>205</v>
      </c>
      <c r="M138" s="298">
        <v>2050204</v>
      </c>
    </row>
    <row r="139" ht="22" customHeight="1" outlineLevel="1" collapsed="1" spans="1:13">
      <c r="A139" s="281" t="s">
        <v>335</v>
      </c>
      <c r="B139" s="282">
        <f t="shared" ref="B139:F139" si="12">SUM(B140:B141)</f>
        <v>65</v>
      </c>
      <c r="C139" s="282">
        <f t="shared" si="12"/>
        <v>65</v>
      </c>
      <c r="D139" s="282">
        <f t="shared" si="12"/>
        <v>0</v>
      </c>
      <c r="E139" s="282">
        <f t="shared" si="12"/>
        <v>0</v>
      </c>
      <c r="F139" s="282">
        <f t="shared" si="12"/>
        <v>0</v>
      </c>
      <c r="G139" s="276"/>
      <c r="I139" s="295"/>
      <c r="J139" s="290"/>
      <c r="K139" s="290"/>
      <c r="L139" s="290"/>
      <c r="M139" s="291"/>
    </row>
    <row r="140" ht="22" hidden="1" customHeight="1" outlineLevel="2" spans="1:13">
      <c r="A140" s="281" t="s">
        <v>336</v>
      </c>
      <c r="B140" s="282">
        <v>45</v>
      </c>
      <c r="C140" s="282">
        <v>45</v>
      </c>
      <c r="D140" s="282"/>
      <c r="E140" s="282"/>
      <c r="F140" s="282"/>
      <c r="G140" s="276"/>
      <c r="I140" s="295"/>
      <c r="J140" s="290"/>
      <c r="K140" s="290"/>
      <c r="L140" s="290"/>
      <c r="M140" s="291"/>
    </row>
    <row r="141" ht="22" hidden="1" customHeight="1" outlineLevel="2" spans="1:13">
      <c r="A141" s="281" t="s">
        <v>337</v>
      </c>
      <c r="B141" s="282">
        <v>20</v>
      </c>
      <c r="C141" s="282">
        <v>20</v>
      </c>
      <c r="D141" s="282"/>
      <c r="E141" s="282"/>
      <c r="F141" s="282"/>
      <c r="G141" s="276"/>
      <c r="I141" s="295"/>
      <c r="J141" s="290"/>
      <c r="K141" s="290"/>
      <c r="L141" s="290"/>
      <c r="M141" s="291"/>
    </row>
    <row r="142" ht="22" customHeight="1" outlineLevel="1" collapsed="1" spans="1:13">
      <c r="A142" s="281" t="s">
        <v>338</v>
      </c>
      <c r="B142" s="282">
        <f t="shared" ref="B142:F142" si="13">SUM(B143:B150)</f>
        <v>1535</v>
      </c>
      <c r="C142" s="282">
        <f t="shared" si="13"/>
        <v>1535</v>
      </c>
      <c r="D142" s="282">
        <f t="shared" si="13"/>
        <v>1967</v>
      </c>
      <c r="E142" s="282">
        <f t="shared" si="13"/>
        <v>547</v>
      </c>
      <c r="F142" s="282">
        <f t="shared" si="13"/>
        <v>1420</v>
      </c>
      <c r="G142" s="276"/>
      <c r="I142" s="295"/>
      <c r="J142" s="290"/>
      <c r="K142" s="290"/>
      <c r="L142" s="290"/>
      <c r="M142" s="291"/>
    </row>
    <row r="143" ht="22" hidden="1" customHeight="1" outlineLevel="2" spans="1:13">
      <c r="A143" s="281" t="s">
        <v>339</v>
      </c>
      <c r="B143" s="282">
        <v>570</v>
      </c>
      <c r="C143" s="282">
        <v>570</v>
      </c>
      <c r="D143" s="282">
        <v>1420</v>
      </c>
      <c r="E143" s="282"/>
      <c r="F143" s="282">
        <v>1420</v>
      </c>
      <c r="G143" s="276"/>
      <c r="H143" s="280" t="s">
        <v>340</v>
      </c>
      <c r="I143" s="295" t="s">
        <v>265</v>
      </c>
      <c r="J143" s="290"/>
      <c r="K143" s="290">
        <v>1420</v>
      </c>
      <c r="L143" s="290">
        <v>207</v>
      </c>
      <c r="M143" s="291"/>
    </row>
    <row r="144" ht="22" hidden="1" customHeight="1" outlineLevel="2" spans="1:13">
      <c r="A144" s="281" t="s">
        <v>341</v>
      </c>
      <c r="B144" s="282">
        <v>52</v>
      </c>
      <c r="C144" s="282">
        <v>52</v>
      </c>
      <c r="D144" s="282"/>
      <c r="E144" s="282"/>
      <c r="F144" s="282"/>
      <c r="G144" s="276"/>
      <c r="I144" s="295"/>
      <c r="J144" s="290"/>
      <c r="K144" s="290"/>
      <c r="L144" s="290"/>
      <c r="M144" s="291"/>
    </row>
    <row r="145" ht="22" hidden="1" customHeight="1" outlineLevel="2" spans="1:13">
      <c r="A145" s="281" t="s">
        <v>341</v>
      </c>
      <c r="B145" s="282">
        <v>492</v>
      </c>
      <c r="C145" s="282">
        <v>492</v>
      </c>
      <c r="D145" s="282">
        <v>547</v>
      </c>
      <c r="E145" s="282">
        <v>547</v>
      </c>
      <c r="F145" s="282"/>
      <c r="G145" s="276"/>
      <c r="H145" s="302" t="s">
        <v>342</v>
      </c>
      <c r="I145" s="295" t="s">
        <v>265</v>
      </c>
      <c r="J145" s="290"/>
      <c r="K145" s="290">
        <v>547</v>
      </c>
      <c r="L145" s="290">
        <v>207</v>
      </c>
      <c r="M145" s="291"/>
    </row>
    <row r="146" ht="22" hidden="1" customHeight="1" outlineLevel="2" spans="1:13">
      <c r="A146" s="281" t="s">
        <v>343</v>
      </c>
      <c r="B146" s="282">
        <v>6</v>
      </c>
      <c r="C146" s="282">
        <v>6</v>
      </c>
      <c r="D146" s="282"/>
      <c r="E146" s="282"/>
      <c r="F146" s="282"/>
      <c r="G146" s="276"/>
      <c r="I146" s="295"/>
      <c r="J146" s="290"/>
      <c r="K146" s="290"/>
      <c r="L146" s="290"/>
      <c r="M146" s="291"/>
    </row>
    <row r="147" ht="22" hidden="1" customHeight="1" outlineLevel="2" spans="1:13">
      <c r="A147" s="281" t="s">
        <v>343</v>
      </c>
      <c r="B147" s="282">
        <v>45</v>
      </c>
      <c r="C147" s="282">
        <v>45</v>
      </c>
      <c r="D147" s="282"/>
      <c r="E147" s="282"/>
      <c r="F147" s="282"/>
      <c r="G147" s="276"/>
      <c r="I147" s="295"/>
      <c r="J147" s="290"/>
      <c r="K147" s="290"/>
      <c r="L147" s="290"/>
      <c r="M147" s="291"/>
    </row>
    <row r="148" ht="22" hidden="1" customHeight="1" outlineLevel="2" spans="1:13">
      <c r="A148" s="281" t="s">
        <v>343</v>
      </c>
      <c r="B148" s="282">
        <v>73</v>
      </c>
      <c r="C148" s="282">
        <v>73</v>
      </c>
      <c r="D148" s="282"/>
      <c r="E148" s="282"/>
      <c r="F148" s="282"/>
      <c r="G148" s="276"/>
      <c r="I148" s="295"/>
      <c r="J148" s="290"/>
      <c r="K148" s="290"/>
      <c r="L148" s="290"/>
      <c r="M148" s="291"/>
    </row>
    <row r="149" ht="22" hidden="1" customHeight="1" outlineLevel="2" spans="1:13">
      <c r="A149" s="281" t="s">
        <v>344</v>
      </c>
      <c r="B149" s="282">
        <v>279</v>
      </c>
      <c r="C149" s="282">
        <v>279</v>
      </c>
      <c r="D149" s="282"/>
      <c r="E149" s="282"/>
      <c r="F149" s="282"/>
      <c r="G149" s="276"/>
      <c r="I149" s="295"/>
      <c r="J149" s="290"/>
      <c r="K149" s="290"/>
      <c r="L149" s="290"/>
      <c r="M149" s="291"/>
    </row>
    <row r="150" ht="22" hidden="1" customHeight="1" outlineLevel="2" spans="1:13">
      <c r="A150" s="281" t="s">
        <v>345</v>
      </c>
      <c r="B150" s="282">
        <v>18</v>
      </c>
      <c r="C150" s="282">
        <v>18</v>
      </c>
      <c r="D150" s="282"/>
      <c r="E150" s="282"/>
      <c r="F150" s="282"/>
      <c r="G150" s="276"/>
      <c r="I150" s="295"/>
      <c r="J150" s="290"/>
      <c r="K150" s="290"/>
      <c r="L150" s="290"/>
      <c r="M150" s="291"/>
    </row>
    <row r="151" ht="22" customHeight="1" outlineLevel="1" collapsed="1" spans="1:13">
      <c r="A151" s="281" t="s">
        <v>346</v>
      </c>
      <c r="B151" s="282">
        <f t="shared" ref="B151:F151" si="14">SUM(B152:B175)</f>
        <v>42932</v>
      </c>
      <c r="C151" s="282">
        <f t="shared" si="14"/>
        <v>42932</v>
      </c>
      <c r="D151" s="282">
        <f t="shared" si="14"/>
        <v>30575</v>
      </c>
      <c r="E151" s="282">
        <f t="shared" si="14"/>
        <v>0</v>
      </c>
      <c r="F151" s="282">
        <f t="shared" si="14"/>
        <v>30575</v>
      </c>
      <c r="G151" s="276"/>
      <c r="I151" s="295"/>
      <c r="J151" s="290"/>
      <c r="K151" s="290"/>
      <c r="L151" s="290"/>
      <c r="M151" s="291"/>
    </row>
    <row r="152" ht="22" hidden="1" customHeight="1" outlineLevel="2" spans="1:13">
      <c r="A152" s="281" t="s">
        <v>347</v>
      </c>
      <c r="B152" s="282">
        <v>-40</v>
      </c>
      <c r="C152" s="282">
        <v>-40</v>
      </c>
      <c r="D152" s="282"/>
      <c r="E152" s="276"/>
      <c r="F152" s="282">
        <f t="shared" ref="F152:F171" si="15">D152</f>
        <v>0</v>
      </c>
      <c r="G152" s="276"/>
      <c r="I152" s="295"/>
      <c r="J152" s="290"/>
      <c r="K152" s="290"/>
      <c r="L152" s="290"/>
      <c r="M152" s="291"/>
    </row>
    <row r="153" ht="22" hidden="1" customHeight="1" outlineLevel="2" spans="1:13">
      <c r="A153" s="281" t="s">
        <v>348</v>
      </c>
      <c r="B153" s="282">
        <v>71</v>
      </c>
      <c r="C153" s="282">
        <v>71</v>
      </c>
      <c r="D153" s="282"/>
      <c r="E153" s="276"/>
      <c r="F153" s="282">
        <f t="shared" si="15"/>
        <v>0</v>
      </c>
      <c r="G153" s="276"/>
      <c r="I153" s="295"/>
      <c r="J153" s="290"/>
      <c r="K153" s="290"/>
      <c r="L153" s="290"/>
      <c r="M153" s="291"/>
    </row>
    <row r="154" ht="22" hidden="1" customHeight="1" outlineLevel="2" spans="1:13">
      <c r="A154" s="281" t="s">
        <v>349</v>
      </c>
      <c r="B154" s="282">
        <v>4361</v>
      </c>
      <c r="C154" s="282">
        <v>4361</v>
      </c>
      <c r="D154" s="282">
        <v>4608</v>
      </c>
      <c r="E154" s="276"/>
      <c r="F154" s="282">
        <f t="shared" si="15"/>
        <v>4608</v>
      </c>
      <c r="G154" s="276"/>
      <c r="H154" s="280" t="s">
        <v>350</v>
      </c>
      <c r="I154" s="295" t="s">
        <v>265</v>
      </c>
      <c r="J154" s="290"/>
      <c r="K154" s="290">
        <v>4608</v>
      </c>
      <c r="L154" s="290">
        <v>208</v>
      </c>
      <c r="M154" s="291" t="s">
        <v>351</v>
      </c>
    </row>
    <row r="155" ht="22" hidden="1" customHeight="1" outlineLevel="2" spans="1:13">
      <c r="A155" s="281" t="s">
        <v>352</v>
      </c>
      <c r="B155" s="282">
        <v>8180</v>
      </c>
      <c r="C155" s="282">
        <v>8180</v>
      </c>
      <c r="D155" s="282">
        <v>7137</v>
      </c>
      <c r="E155" s="276"/>
      <c r="F155" s="282">
        <f t="shared" si="15"/>
        <v>7137</v>
      </c>
      <c r="G155" s="276"/>
      <c r="H155" s="280" t="s">
        <v>353</v>
      </c>
      <c r="I155" s="295" t="s">
        <v>265</v>
      </c>
      <c r="J155" s="290"/>
      <c r="K155" s="290">
        <v>7137</v>
      </c>
      <c r="L155" s="290">
        <v>208</v>
      </c>
      <c r="M155" s="291"/>
    </row>
    <row r="156" ht="22" hidden="1" customHeight="1" outlineLevel="2" spans="1:13">
      <c r="A156" s="281" t="s">
        <v>354</v>
      </c>
      <c r="B156" s="282">
        <v>3449</v>
      </c>
      <c r="C156" s="282">
        <v>3449</v>
      </c>
      <c r="D156" s="282">
        <v>3638</v>
      </c>
      <c r="E156" s="276"/>
      <c r="F156" s="282">
        <f t="shared" si="15"/>
        <v>3638</v>
      </c>
      <c r="G156" s="276"/>
      <c r="H156" s="280" t="s">
        <v>355</v>
      </c>
      <c r="I156" s="295" t="s">
        <v>265</v>
      </c>
      <c r="J156" s="290"/>
      <c r="K156" s="290">
        <v>3638</v>
      </c>
      <c r="L156" s="290">
        <v>208</v>
      </c>
      <c r="M156" s="291" t="s">
        <v>356</v>
      </c>
    </row>
    <row r="157" ht="22" hidden="1" customHeight="1" outlineLevel="2" spans="1:13">
      <c r="A157" s="281" t="s">
        <v>357</v>
      </c>
      <c r="B157" s="282">
        <v>100</v>
      </c>
      <c r="C157" s="282">
        <v>100</v>
      </c>
      <c r="D157" s="282"/>
      <c r="E157" s="276"/>
      <c r="F157" s="282">
        <f t="shared" si="15"/>
        <v>0</v>
      </c>
      <c r="G157" s="276"/>
      <c r="I157" s="295"/>
      <c r="J157" s="290"/>
      <c r="K157" s="290"/>
      <c r="L157" s="290"/>
      <c r="M157" s="291"/>
    </row>
    <row r="158" ht="22" hidden="1" customHeight="1" outlineLevel="2" spans="1:13">
      <c r="A158" s="281" t="s">
        <v>358</v>
      </c>
      <c r="B158" s="282">
        <v>158</v>
      </c>
      <c r="C158" s="282">
        <v>158</v>
      </c>
      <c r="D158" s="282"/>
      <c r="E158" s="276"/>
      <c r="F158" s="282">
        <f t="shared" si="15"/>
        <v>0</v>
      </c>
      <c r="G158" s="276"/>
      <c r="I158" s="295"/>
      <c r="J158" s="290"/>
      <c r="K158" s="290"/>
      <c r="L158" s="290"/>
      <c r="M158" s="291"/>
    </row>
    <row r="159" ht="22" hidden="1" customHeight="1" outlineLevel="2" spans="1:13">
      <c r="A159" s="281" t="s">
        <v>359</v>
      </c>
      <c r="B159" s="282">
        <v>2869</v>
      </c>
      <c r="C159" s="282">
        <v>2869</v>
      </c>
      <c r="D159" s="282"/>
      <c r="E159" s="276"/>
      <c r="F159" s="282">
        <f t="shared" si="15"/>
        <v>0</v>
      </c>
      <c r="G159" s="276"/>
      <c r="I159" s="295"/>
      <c r="J159" s="290"/>
      <c r="K159" s="290"/>
      <c r="L159" s="290"/>
      <c r="M159" s="291"/>
    </row>
    <row r="160" ht="22" hidden="1" customHeight="1" outlineLevel="2" spans="1:13">
      <c r="A160" s="281" t="s">
        <v>360</v>
      </c>
      <c r="B160" s="282">
        <v>43</v>
      </c>
      <c r="C160" s="282">
        <v>43</v>
      </c>
      <c r="D160" s="282"/>
      <c r="E160" s="276"/>
      <c r="F160" s="282">
        <f t="shared" si="15"/>
        <v>0</v>
      </c>
      <c r="G160" s="276"/>
      <c r="I160" s="295"/>
      <c r="J160" s="290"/>
      <c r="K160" s="290"/>
      <c r="L160" s="290"/>
      <c r="M160" s="291"/>
    </row>
    <row r="161" ht="22" hidden="1" customHeight="1" outlineLevel="2" spans="1:13">
      <c r="A161" s="281" t="s">
        <v>361</v>
      </c>
      <c r="B161" s="282">
        <v>2247</v>
      </c>
      <c r="C161" s="282">
        <v>2247</v>
      </c>
      <c r="D161" s="282"/>
      <c r="E161" s="276"/>
      <c r="F161" s="282">
        <f t="shared" si="15"/>
        <v>0</v>
      </c>
      <c r="G161" s="276"/>
      <c r="I161" s="295"/>
      <c r="J161" s="290"/>
      <c r="K161" s="290"/>
      <c r="L161" s="290"/>
      <c r="M161" s="291"/>
    </row>
    <row r="162" ht="22" hidden="1" customHeight="1" outlineLevel="2" spans="1:13">
      <c r="A162" s="281" t="s">
        <v>362</v>
      </c>
      <c r="B162" s="282">
        <v>285</v>
      </c>
      <c r="C162" s="282">
        <v>285</v>
      </c>
      <c r="D162" s="282"/>
      <c r="E162" s="276"/>
      <c r="F162" s="282">
        <f t="shared" si="15"/>
        <v>0</v>
      </c>
      <c r="G162" s="276"/>
      <c r="I162" s="295"/>
      <c r="J162" s="290"/>
      <c r="K162" s="290"/>
      <c r="L162" s="290"/>
      <c r="M162" s="291"/>
    </row>
    <row r="163" ht="22" hidden="1" customHeight="1" outlineLevel="2" spans="1:13">
      <c r="A163" s="281" t="s">
        <v>363</v>
      </c>
      <c r="B163" s="282">
        <v>653</v>
      </c>
      <c r="C163" s="282">
        <v>653</v>
      </c>
      <c r="D163" s="282"/>
      <c r="E163" s="276"/>
      <c r="F163" s="282">
        <f t="shared" si="15"/>
        <v>0</v>
      </c>
      <c r="G163" s="276"/>
      <c r="I163" s="295"/>
      <c r="J163" s="290"/>
      <c r="K163" s="290"/>
      <c r="L163" s="290"/>
      <c r="M163" s="291"/>
    </row>
    <row r="164" ht="22" hidden="1" customHeight="1" outlineLevel="2" spans="1:13">
      <c r="A164" s="281" t="s">
        <v>364</v>
      </c>
      <c r="B164" s="282">
        <v>165</v>
      </c>
      <c r="C164" s="282">
        <v>165</v>
      </c>
      <c r="D164" s="282"/>
      <c r="E164" s="276"/>
      <c r="F164" s="282">
        <f t="shared" si="15"/>
        <v>0</v>
      </c>
      <c r="G164" s="276"/>
      <c r="I164" s="295"/>
      <c r="J164" s="290"/>
      <c r="K164" s="290"/>
      <c r="L164" s="290"/>
      <c r="M164" s="291"/>
    </row>
    <row r="165" ht="22" hidden="1" customHeight="1" outlineLevel="2" spans="1:13">
      <c r="A165" s="281" t="s">
        <v>365</v>
      </c>
      <c r="B165" s="282">
        <v>10</v>
      </c>
      <c r="C165" s="282">
        <v>10</v>
      </c>
      <c r="D165" s="282"/>
      <c r="E165" s="276"/>
      <c r="F165" s="282">
        <f t="shared" si="15"/>
        <v>0</v>
      </c>
      <c r="G165" s="276"/>
      <c r="I165" s="295"/>
      <c r="J165" s="290"/>
      <c r="K165" s="290"/>
      <c r="L165" s="290"/>
      <c r="M165" s="291"/>
    </row>
    <row r="166" ht="22" hidden="1" customHeight="1" outlineLevel="2" spans="1:13">
      <c r="A166" s="281" t="s">
        <v>366</v>
      </c>
      <c r="B166" s="282">
        <v>800</v>
      </c>
      <c r="C166" s="282">
        <v>800</v>
      </c>
      <c r="D166" s="282"/>
      <c r="E166" s="276"/>
      <c r="F166" s="282">
        <f t="shared" si="15"/>
        <v>0</v>
      </c>
      <c r="G166" s="276"/>
      <c r="I166" s="295"/>
      <c r="J166" s="290"/>
      <c r="K166" s="290"/>
      <c r="L166" s="290"/>
      <c r="M166" s="291"/>
    </row>
    <row r="167" ht="22" hidden="1" customHeight="1" outlineLevel="2" spans="1:13">
      <c r="A167" s="281" t="s">
        <v>367</v>
      </c>
      <c r="B167" s="282">
        <v>25</v>
      </c>
      <c r="C167" s="282">
        <v>25</v>
      </c>
      <c r="D167" s="282"/>
      <c r="E167" s="276"/>
      <c r="F167" s="282">
        <f t="shared" si="15"/>
        <v>0</v>
      </c>
      <c r="G167" s="276"/>
      <c r="I167" s="295"/>
      <c r="J167" s="290"/>
      <c r="K167" s="290"/>
      <c r="L167" s="290"/>
      <c r="M167" s="291"/>
    </row>
    <row r="168" ht="22" hidden="1" customHeight="1" outlineLevel="2" spans="1:13">
      <c r="A168" s="281" t="s">
        <v>368</v>
      </c>
      <c r="B168" s="282">
        <v>1592</v>
      </c>
      <c r="C168" s="282">
        <v>1592</v>
      </c>
      <c r="D168" s="282"/>
      <c r="E168" s="276"/>
      <c r="F168" s="282">
        <f t="shared" si="15"/>
        <v>0</v>
      </c>
      <c r="G168" s="276"/>
      <c r="I168" s="295"/>
      <c r="J168" s="290"/>
      <c r="K168" s="290"/>
      <c r="L168" s="290"/>
      <c r="M168" s="291"/>
    </row>
    <row r="169" ht="22" hidden="1" customHeight="1" outlineLevel="2" spans="1:13">
      <c r="A169" s="281" t="s">
        <v>369</v>
      </c>
      <c r="B169" s="282">
        <v>2789</v>
      </c>
      <c r="C169" s="282">
        <v>2789</v>
      </c>
      <c r="D169" s="282"/>
      <c r="E169" s="276"/>
      <c r="F169" s="282">
        <f t="shared" si="15"/>
        <v>0</v>
      </c>
      <c r="G169" s="276"/>
      <c r="I169" s="295"/>
      <c r="J169" s="290"/>
      <c r="K169" s="290"/>
      <c r="L169" s="290"/>
      <c r="M169" s="291"/>
    </row>
    <row r="170" ht="22" hidden="1" customHeight="1" outlineLevel="2" spans="1:13">
      <c r="A170" s="281" t="s">
        <v>370</v>
      </c>
      <c r="B170" s="282">
        <v>704</v>
      </c>
      <c r="C170" s="282">
        <v>704</v>
      </c>
      <c r="D170" s="282"/>
      <c r="E170" s="276"/>
      <c r="F170" s="282">
        <f t="shared" si="15"/>
        <v>0</v>
      </c>
      <c r="G170" s="276"/>
      <c r="I170" s="295"/>
      <c r="J170" s="290"/>
      <c r="K170" s="290"/>
      <c r="L170" s="290"/>
      <c r="M170" s="291"/>
    </row>
    <row r="171" ht="22" hidden="1" customHeight="1" outlineLevel="2" spans="1:13">
      <c r="A171" s="281" t="s">
        <v>371</v>
      </c>
      <c r="B171" s="282">
        <v>140</v>
      </c>
      <c r="C171" s="282">
        <v>140</v>
      </c>
      <c r="D171" s="282"/>
      <c r="E171" s="276"/>
      <c r="F171" s="282">
        <f t="shared" si="15"/>
        <v>0</v>
      </c>
      <c r="G171" s="276"/>
      <c r="I171" s="295"/>
      <c r="J171" s="290"/>
      <c r="K171" s="290"/>
      <c r="L171" s="290"/>
      <c r="M171" s="291"/>
    </row>
    <row r="172" ht="22" hidden="1" customHeight="1" outlineLevel="2" spans="1:13">
      <c r="A172" s="281" t="s">
        <v>372</v>
      </c>
      <c r="B172" s="282"/>
      <c r="C172" s="282"/>
      <c r="D172" s="282">
        <v>1814</v>
      </c>
      <c r="E172" s="276"/>
      <c r="F172" s="282">
        <v>1814</v>
      </c>
      <c r="G172" s="276"/>
      <c r="H172" s="280" t="s">
        <v>373</v>
      </c>
      <c r="I172" s="295" t="s">
        <v>265</v>
      </c>
      <c r="J172" s="290"/>
      <c r="K172" s="290">
        <v>1814</v>
      </c>
      <c r="L172" s="298">
        <v>20808</v>
      </c>
      <c r="M172" s="291"/>
    </row>
    <row r="173" ht="22" hidden="1" customHeight="1" outlineLevel="2" spans="1:13">
      <c r="A173" s="281" t="s">
        <v>372</v>
      </c>
      <c r="B173" s="282">
        <v>1950</v>
      </c>
      <c r="C173" s="282">
        <v>1950</v>
      </c>
      <c r="D173" s="282">
        <f>1724</f>
        <v>1724</v>
      </c>
      <c r="E173" s="276"/>
      <c r="F173" s="282">
        <f t="shared" ref="F173:F175" si="16">D173</f>
        <v>1724</v>
      </c>
      <c r="G173" s="276"/>
      <c r="H173" s="303" t="s">
        <v>374</v>
      </c>
      <c r="I173" s="295" t="s">
        <v>265</v>
      </c>
      <c r="J173" s="290"/>
      <c r="K173" s="290">
        <v>1724</v>
      </c>
      <c r="L173" s="298">
        <v>20808</v>
      </c>
      <c r="M173" s="298" t="s">
        <v>375</v>
      </c>
    </row>
    <row r="174" ht="22" hidden="1" customHeight="1" outlineLevel="2" spans="1:13">
      <c r="A174" s="281" t="s">
        <v>376</v>
      </c>
      <c r="B174" s="282">
        <v>12161</v>
      </c>
      <c r="C174" s="282">
        <v>12161</v>
      </c>
      <c r="D174" s="282">
        <v>11617</v>
      </c>
      <c r="E174" s="282"/>
      <c r="F174" s="282">
        <f t="shared" si="16"/>
        <v>11617</v>
      </c>
      <c r="G174" s="276"/>
      <c r="H174" s="303" t="s">
        <v>377</v>
      </c>
      <c r="I174" s="295" t="s">
        <v>265</v>
      </c>
      <c r="J174" s="290"/>
      <c r="K174" s="290">
        <v>11617</v>
      </c>
      <c r="L174" s="298">
        <v>20826</v>
      </c>
      <c r="M174" s="298" t="s">
        <v>378</v>
      </c>
    </row>
    <row r="175" ht="22" hidden="1" customHeight="1" outlineLevel="2" spans="1:13">
      <c r="A175" s="281" t="s">
        <v>379</v>
      </c>
      <c r="B175" s="282">
        <v>220</v>
      </c>
      <c r="C175" s="282">
        <v>220</v>
      </c>
      <c r="D175" s="285">
        <v>37</v>
      </c>
      <c r="E175" s="282"/>
      <c r="F175" s="282">
        <f t="shared" si="16"/>
        <v>37</v>
      </c>
      <c r="G175" s="276"/>
      <c r="H175" s="280" t="s">
        <v>380</v>
      </c>
      <c r="I175" s="295" t="s">
        <v>265</v>
      </c>
      <c r="J175" s="290"/>
      <c r="K175" s="290">
        <v>37</v>
      </c>
      <c r="L175" s="298"/>
      <c r="M175" s="298"/>
    </row>
    <row r="176" ht="22" customHeight="1" outlineLevel="1" collapsed="1" spans="1:13">
      <c r="A176" s="281" t="s">
        <v>381</v>
      </c>
      <c r="B176" s="282">
        <f t="shared" ref="B176:F176" si="17">SUM(B177:B198)</f>
        <v>9385</v>
      </c>
      <c r="C176" s="282">
        <f t="shared" si="17"/>
        <v>9385</v>
      </c>
      <c r="D176" s="282">
        <f t="shared" si="17"/>
        <v>5965</v>
      </c>
      <c r="E176" s="282">
        <f t="shared" si="17"/>
        <v>4203</v>
      </c>
      <c r="F176" s="282">
        <f t="shared" si="17"/>
        <v>1762</v>
      </c>
      <c r="G176" s="276"/>
      <c r="I176" s="295"/>
      <c r="J176" s="290"/>
      <c r="K176" s="290"/>
      <c r="L176" s="298"/>
      <c r="M176" s="298"/>
    </row>
    <row r="177" ht="22" hidden="1" customHeight="1" outlineLevel="2" spans="1:13">
      <c r="A177" s="281" t="s">
        <v>382</v>
      </c>
      <c r="B177" s="282">
        <v>3936</v>
      </c>
      <c r="C177" s="282">
        <v>3936</v>
      </c>
      <c r="D177" s="282">
        <v>4203</v>
      </c>
      <c r="E177" s="282">
        <v>4203</v>
      </c>
      <c r="F177" s="282"/>
      <c r="G177" s="276"/>
      <c r="H177" s="280" t="s">
        <v>383</v>
      </c>
      <c r="I177" s="299" t="s">
        <v>265</v>
      </c>
      <c r="J177" s="290"/>
      <c r="K177" s="290">
        <v>4203</v>
      </c>
      <c r="L177" s="298">
        <v>210</v>
      </c>
      <c r="M177" s="298"/>
    </row>
    <row r="178" ht="22" hidden="1" customHeight="1" outlineLevel="2" spans="1:13">
      <c r="A178" s="281" t="s">
        <v>384</v>
      </c>
      <c r="B178" s="282">
        <v>569</v>
      </c>
      <c r="C178" s="282">
        <v>569</v>
      </c>
      <c r="D178" s="282">
        <v>569</v>
      </c>
      <c r="E178" s="282"/>
      <c r="F178" s="282">
        <f t="shared" ref="F178:F198" si="18">D178</f>
        <v>569</v>
      </c>
      <c r="G178" s="276"/>
      <c r="H178" s="280" t="s">
        <v>385</v>
      </c>
      <c r="I178" s="299" t="s">
        <v>265</v>
      </c>
      <c r="J178" s="290"/>
      <c r="K178" s="290">
        <v>569</v>
      </c>
      <c r="L178" s="298">
        <v>210</v>
      </c>
      <c r="M178" s="298"/>
    </row>
    <row r="179" ht="22" hidden="1" customHeight="1" outlineLevel="2" spans="1:13">
      <c r="A179" s="281" t="s">
        <v>386</v>
      </c>
      <c r="B179" s="282">
        <v>150</v>
      </c>
      <c r="C179" s="282">
        <v>150</v>
      </c>
      <c r="D179" s="282">
        <v>101</v>
      </c>
      <c r="E179" s="282"/>
      <c r="F179" s="282">
        <f t="shared" si="18"/>
        <v>101</v>
      </c>
      <c r="G179" s="276"/>
      <c r="H179" s="280" t="s">
        <v>387</v>
      </c>
      <c r="I179" s="299" t="s">
        <v>265</v>
      </c>
      <c r="J179" s="290"/>
      <c r="K179" s="290">
        <v>101</v>
      </c>
      <c r="L179" s="298">
        <v>210</v>
      </c>
      <c r="M179" s="304">
        <v>2100717</v>
      </c>
    </row>
    <row r="180" ht="22" hidden="1" customHeight="1" outlineLevel="2" spans="1:13">
      <c r="A180" s="281" t="s">
        <v>388</v>
      </c>
      <c r="B180" s="282">
        <v>183</v>
      </c>
      <c r="C180" s="282">
        <v>183</v>
      </c>
      <c r="D180" s="282"/>
      <c r="E180" s="282"/>
      <c r="F180" s="282">
        <f t="shared" si="18"/>
        <v>0</v>
      </c>
      <c r="G180" s="276"/>
      <c r="I180" s="295"/>
      <c r="J180" s="290"/>
      <c r="K180" s="290"/>
      <c r="L180" s="298"/>
      <c r="M180" s="298"/>
    </row>
    <row r="181" ht="22" hidden="1" customHeight="1" outlineLevel="2" spans="1:13">
      <c r="A181" s="281" t="s">
        <v>389</v>
      </c>
      <c r="B181" s="282">
        <v>86</v>
      </c>
      <c r="C181" s="282">
        <v>86</v>
      </c>
      <c r="D181" s="282"/>
      <c r="E181" s="282"/>
      <c r="F181" s="282">
        <f t="shared" si="18"/>
        <v>0</v>
      </c>
      <c r="G181" s="276"/>
      <c r="I181" s="295"/>
      <c r="J181" s="290"/>
      <c r="K181" s="290"/>
      <c r="L181" s="298"/>
      <c r="M181" s="298"/>
    </row>
    <row r="182" ht="22" hidden="1" customHeight="1" outlineLevel="2" spans="1:13">
      <c r="A182" s="281" t="s">
        <v>390</v>
      </c>
      <c r="B182" s="282">
        <v>73</v>
      </c>
      <c r="C182" s="282">
        <v>73</v>
      </c>
      <c r="D182" s="282">
        <v>77</v>
      </c>
      <c r="E182" s="276"/>
      <c r="F182" s="282">
        <v>77</v>
      </c>
      <c r="G182" s="276"/>
      <c r="H182" s="280" t="s">
        <v>391</v>
      </c>
      <c r="I182" s="299" t="s">
        <v>265</v>
      </c>
      <c r="J182" s="290"/>
      <c r="K182" s="290">
        <v>77</v>
      </c>
      <c r="L182" s="298">
        <v>210</v>
      </c>
      <c r="M182" s="298"/>
    </row>
    <row r="183" ht="22" hidden="1" customHeight="1" outlineLevel="2" spans="1:13">
      <c r="A183" s="281" t="s">
        <v>392</v>
      </c>
      <c r="B183" s="282">
        <v>971</v>
      </c>
      <c r="C183" s="282">
        <v>971</v>
      </c>
      <c r="D183" s="282">
        <v>1015</v>
      </c>
      <c r="E183" s="282"/>
      <c r="F183" s="282">
        <f t="shared" si="18"/>
        <v>1015</v>
      </c>
      <c r="G183" s="276"/>
      <c r="H183" s="280" t="s">
        <v>393</v>
      </c>
      <c r="I183" s="299" t="s">
        <v>265</v>
      </c>
      <c r="J183" s="290"/>
      <c r="K183" s="290">
        <v>1015</v>
      </c>
      <c r="L183" s="298">
        <v>210</v>
      </c>
      <c r="M183" s="298">
        <v>2101301</v>
      </c>
    </row>
    <row r="184" ht="22" hidden="1" customHeight="1" outlineLevel="2" spans="1:13">
      <c r="A184" s="281" t="s">
        <v>394</v>
      </c>
      <c r="B184" s="282">
        <v>23</v>
      </c>
      <c r="C184" s="282">
        <v>23</v>
      </c>
      <c r="D184" s="282"/>
      <c r="E184" s="282"/>
      <c r="F184" s="282">
        <f t="shared" si="18"/>
        <v>0</v>
      </c>
      <c r="G184" s="276"/>
      <c r="I184" s="295"/>
      <c r="J184" s="290"/>
      <c r="K184" s="290"/>
      <c r="L184" s="298"/>
      <c r="M184" s="298"/>
    </row>
    <row r="185" ht="22" hidden="1" customHeight="1" outlineLevel="2" spans="1:13">
      <c r="A185" s="281" t="s">
        <v>395</v>
      </c>
      <c r="B185" s="282">
        <v>90</v>
      </c>
      <c r="C185" s="282">
        <v>90</v>
      </c>
      <c r="D185" s="282"/>
      <c r="E185" s="282"/>
      <c r="F185" s="282">
        <f t="shared" si="18"/>
        <v>0</v>
      </c>
      <c r="G185" s="276"/>
      <c r="I185" s="295"/>
      <c r="J185" s="290"/>
      <c r="K185" s="290"/>
      <c r="L185" s="298"/>
      <c r="M185" s="298"/>
    </row>
    <row r="186" ht="22" hidden="1" customHeight="1" outlineLevel="2" spans="1:13">
      <c r="A186" s="281" t="s">
        <v>396</v>
      </c>
      <c r="B186" s="282">
        <v>257</v>
      </c>
      <c r="C186" s="282">
        <v>257</v>
      </c>
      <c r="D186" s="282"/>
      <c r="E186" s="282"/>
      <c r="F186" s="282">
        <f t="shared" si="18"/>
        <v>0</v>
      </c>
      <c r="G186" s="276"/>
      <c r="I186" s="295"/>
      <c r="J186" s="290"/>
      <c r="K186" s="290"/>
      <c r="L186" s="298"/>
      <c r="M186" s="298"/>
    </row>
    <row r="187" ht="22" hidden="1" customHeight="1" outlineLevel="2" spans="1:13">
      <c r="A187" s="281" t="s">
        <v>396</v>
      </c>
      <c r="B187" s="282">
        <v>74</v>
      </c>
      <c r="C187" s="282">
        <v>74</v>
      </c>
      <c r="D187" s="282"/>
      <c r="E187" s="282"/>
      <c r="F187" s="282">
        <f t="shared" si="18"/>
        <v>0</v>
      </c>
      <c r="G187" s="276"/>
      <c r="I187" s="295"/>
      <c r="J187" s="290"/>
      <c r="K187" s="290"/>
      <c r="L187" s="298"/>
      <c r="M187" s="298"/>
    </row>
    <row r="188" ht="22" hidden="1" customHeight="1" outlineLevel="2" spans="1:13">
      <c r="A188" s="281" t="s">
        <v>396</v>
      </c>
      <c r="B188" s="282">
        <v>105</v>
      </c>
      <c r="C188" s="282">
        <v>105</v>
      </c>
      <c r="D188" s="282"/>
      <c r="E188" s="282"/>
      <c r="F188" s="282">
        <f t="shared" si="18"/>
        <v>0</v>
      </c>
      <c r="G188" s="276"/>
      <c r="I188" s="295"/>
      <c r="J188" s="290"/>
      <c r="K188" s="290"/>
      <c r="L188" s="298"/>
      <c r="M188" s="298"/>
    </row>
    <row r="189" ht="22" hidden="1" customHeight="1" outlineLevel="2" spans="1:13">
      <c r="A189" s="281" t="s">
        <v>397</v>
      </c>
      <c r="B189" s="282">
        <v>62</v>
      </c>
      <c r="C189" s="282">
        <v>62</v>
      </c>
      <c r="D189" s="282"/>
      <c r="E189" s="282"/>
      <c r="F189" s="282">
        <f t="shared" si="18"/>
        <v>0</v>
      </c>
      <c r="G189" s="276"/>
      <c r="I189" s="295"/>
      <c r="J189" s="290"/>
      <c r="K189" s="290"/>
      <c r="L189" s="298"/>
      <c r="M189" s="298"/>
    </row>
    <row r="190" ht="22" hidden="1" customHeight="1" outlineLevel="2" spans="1:13">
      <c r="A190" s="281" t="s">
        <v>398</v>
      </c>
      <c r="B190" s="282">
        <v>666</v>
      </c>
      <c r="C190" s="282">
        <v>666</v>
      </c>
      <c r="D190" s="282"/>
      <c r="E190" s="282"/>
      <c r="F190" s="282">
        <f t="shared" si="18"/>
        <v>0</v>
      </c>
      <c r="G190" s="276"/>
      <c r="I190" s="295"/>
      <c r="J190" s="290"/>
      <c r="K190" s="290"/>
      <c r="L190" s="298"/>
      <c r="M190" s="298"/>
    </row>
    <row r="191" ht="22" hidden="1" customHeight="1" outlineLevel="2" spans="1:13">
      <c r="A191" s="281" t="s">
        <v>399</v>
      </c>
      <c r="B191" s="282">
        <v>65</v>
      </c>
      <c r="C191" s="282">
        <v>65</v>
      </c>
      <c r="D191" s="282"/>
      <c r="E191" s="282"/>
      <c r="F191" s="282">
        <f t="shared" si="18"/>
        <v>0</v>
      </c>
      <c r="G191" s="276"/>
      <c r="I191" s="295"/>
      <c r="J191" s="290"/>
      <c r="K191" s="290"/>
      <c r="L191" s="298"/>
      <c r="M191" s="298"/>
    </row>
    <row r="192" ht="22" hidden="1" customHeight="1" outlineLevel="2" spans="1:13">
      <c r="A192" s="281" t="s">
        <v>394</v>
      </c>
      <c r="B192" s="282">
        <v>10</v>
      </c>
      <c r="C192" s="282">
        <v>10</v>
      </c>
      <c r="D192" s="282"/>
      <c r="E192" s="282"/>
      <c r="F192" s="282">
        <f t="shared" si="18"/>
        <v>0</v>
      </c>
      <c r="G192" s="276"/>
      <c r="I192" s="295"/>
      <c r="J192" s="290"/>
      <c r="K192" s="290"/>
      <c r="L192" s="298"/>
      <c r="M192" s="298"/>
    </row>
    <row r="193" ht="22" hidden="1" customHeight="1" outlineLevel="2" spans="1:13">
      <c r="A193" s="281" t="s">
        <v>400</v>
      </c>
      <c r="B193" s="282">
        <v>221</v>
      </c>
      <c r="C193" s="282">
        <v>221</v>
      </c>
      <c r="D193" s="282"/>
      <c r="E193" s="282"/>
      <c r="F193" s="282">
        <f t="shared" si="18"/>
        <v>0</v>
      </c>
      <c r="G193" s="276"/>
      <c r="I193" s="295"/>
      <c r="J193" s="290"/>
      <c r="K193" s="290"/>
      <c r="L193" s="298"/>
      <c r="M193" s="298"/>
    </row>
    <row r="194" ht="22" hidden="1" customHeight="1" outlineLevel="2" spans="1:13">
      <c r="A194" s="281" t="s">
        <v>401</v>
      </c>
      <c r="B194" s="282">
        <v>32</v>
      </c>
      <c r="C194" s="282">
        <v>32</v>
      </c>
      <c r="D194" s="282"/>
      <c r="E194" s="282"/>
      <c r="F194" s="282">
        <f t="shared" si="18"/>
        <v>0</v>
      </c>
      <c r="G194" s="276"/>
      <c r="I194" s="295"/>
      <c r="J194" s="290"/>
      <c r="K194" s="290"/>
      <c r="L194" s="298"/>
      <c r="M194" s="298"/>
    </row>
    <row r="195" ht="22" hidden="1" customHeight="1" outlineLevel="2" spans="1:13">
      <c r="A195" s="281" t="s">
        <v>401</v>
      </c>
      <c r="B195" s="282">
        <v>-21</v>
      </c>
      <c r="C195" s="282">
        <v>-21</v>
      </c>
      <c r="D195" s="282"/>
      <c r="E195" s="282"/>
      <c r="F195" s="282">
        <f t="shared" si="18"/>
        <v>0</v>
      </c>
      <c r="G195" s="276"/>
      <c r="I195" s="295"/>
      <c r="J195" s="290"/>
      <c r="K195" s="290"/>
      <c r="L195" s="298"/>
      <c r="M195" s="298"/>
    </row>
    <row r="196" ht="22" hidden="1" customHeight="1" outlineLevel="2" spans="1:13">
      <c r="A196" s="281" t="s">
        <v>402</v>
      </c>
      <c r="B196" s="282">
        <v>270</v>
      </c>
      <c r="C196" s="282">
        <v>270</v>
      </c>
      <c r="D196" s="282"/>
      <c r="E196" s="282"/>
      <c r="F196" s="282">
        <f t="shared" si="18"/>
        <v>0</v>
      </c>
      <c r="G196" s="276"/>
      <c r="I196" s="295"/>
      <c r="J196" s="290"/>
      <c r="K196" s="290"/>
      <c r="L196" s="298"/>
      <c r="M196" s="298"/>
    </row>
    <row r="197" ht="22" hidden="1" customHeight="1" outlineLevel="2" spans="1:13">
      <c r="A197" s="281" t="s">
        <v>403</v>
      </c>
      <c r="B197" s="282">
        <v>1412</v>
      </c>
      <c r="C197" s="282">
        <v>1412</v>
      </c>
      <c r="D197" s="282"/>
      <c r="E197" s="282"/>
      <c r="F197" s="282">
        <f t="shared" si="18"/>
        <v>0</v>
      </c>
      <c r="G197" s="276"/>
      <c r="I197" s="295"/>
      <c r="J197" s="290"/>
      <c r="K197" s="290"/>
      <c r="L197" s="298"/>
      <c r="M197" s="298"/>
    </row>
    <row r="198" ht="22" hidden="1" customHeight="1" outlineLevel="2" spans="1:13">
      <c r="A198" s="281" t="s">
        <v>404</v>
      </c>
      <c r="B198" s="282">
        <v>151</v>
      </c>
      <c r="C198" s="282">
        <v>151</v>
      </c>
      <c r="D198" s="282"/>
      <c r="E198" s="282"/>
      <c r="F198" s="282">
        <f t="shared" si="18"/>
        <v>0</v>
      </c>
      <c r="G198" s="276"/>
      <c r="I198" s="295"/>
      <c r="J198" s="290"/>
      <c r="K198" s="290"/>
      <c r="L198" s="298"/>
      <c r="M198" s="298"/>
    </row>
    <row r="199" ht="22" customHeight="1" outlineLevel="1" collapsed="1" spans="1:13">
      <c r="A199" s="281" t="s">
        <v>405</v>
      </c>
      <c r="B199" s="282">
        <f t="shared" ref="B199:F199" si="19">SUM(B200:B201)</f>
        <v>211</v>
      </c>
      <c r="C199" s="282">
        <f t="shared" si="19"/>
        <v>211</v>
      </c>
      <c r="D199" s="282">
        <f t="shared" si="19"/>
        <v>0</v>
      </c>
      <c r="E199" s="282">
        <f t="shared" si="19"/>
        <v>0</v>
      </c>
      <c r="F199" s="282">
        <f t="shared" si="19"/>
        <v>0</v>
      </c>
      <c r="G199" s="276"/>
      <c r="I199" s="295"/>
      <c r="J199" s="290"/>
      <c r="K199" s="290"/>
      <c r="L199" s="298"/>
      <c r="M199" s="298"/>
    </row>
    <row r="200" ht="22" hidden="1" customHeight="1" outlineLevel="2" spans="1:13">
      <c r="A200" s="281" t="s">
        <v>406</v>
      </c>
      <c r="B200" s="282">
        <v>11</v>
      </c>
      <c r="C200" s="282">
        <v>11</v>
      </c>
      <c r="D200" s="282"/>
      <c r="E200" s="282"/>
      <c r="F200" s="282"/>
      <c r="G200" s="276"/>
      <c r="I200" s="295"/>
      <c r="J200" s="290"/>
      <c r="K200" s="290"/>
      <c r="L200" s="298"/>
      <c r="M200" s="298"/>
    </row>
    <row r="201" ht="22" hidden="1" customHeight="1" outlineLevel="2" spans="1:13">
      <c r="A201" s="281" t="s">
        <v>407</v>
      </c>
      <c r="B201" s="282">
        <v>200</v>
      </c>
      <c r="C201" s="282">
        <v>200</v>
      </c>
      <c r="D201" s="282"/>
      <c r="E201" s="282"/>
      <c r="F201" s="282"/>
      <c r="G201" s="276"/>
      <c r="I201" s="295"/>
      <c r="J201" s="290"/>
      <c r="K201" s="290"/>
      <c r="L201" s="298"/>
      <c r="M201" s="298"/>
    </row>
    <row r="202" ht="22" customHeight="1" outlineLevel="1" collapsed="1" spans="1:13">
      <c r="A202" s="281" t="s">
        <v>408</v>
      </c>
      <c r="B202" s="282">
        <f t="shared" ref="B202:F202" si="20">SUM(B203:B233)</f>
        <v>22284</v>
      </c>
      <c r="C202" s="282">
        <f t="shared" si="20"/>
        <v>22284</v>
      </c>
      <c r="D202" s="282">
        <f t="shared" si="20"/>
        <v>11622</v>
      </c>
      <c r="E202" s="282">
        <f t="shared" si="20"/>
        <v>0</v>
      </c>
      <c r="F202" s="282">
        <f t="shared" si="20"/>
        <v>11622</v>
      </c>
      <c r="G202" s="276"/>
      <c r="I202" s="295"/>
      <c r="J202" s="290"/>
      <c r="K202" s="290"/>
      <c r="L202" s="298"/>
      <c r="M202" s="298"/>
    </row>
    <row r="203" ht="22" hidden="1" customHeight="1" outlineLevel="2" spans="1:13">
      <c r="A203" s="281" t="s">
        <v>409</v>
      </c>
      <c r="B203" s="282">
        <v>53</v>
      </c>
      <c r="C203" s="282">
        <v>53</v>
      </c>
      <c r="D203" s="282"/>
      <c r="E203" s="276"/>
      <c r="F203" s="282">
        <f t="shared" ref="F203:F225" si="21">D203</f>
        <v>0</v>
      </c>
      <c r="G203" s="276"/>
      <c r="I203" s="295"/>
      <c r="J203" s="290"/>
      <c r="K203" s="290"/>
      <c r="L203" s="298"/>
      <c r="M203" s="298"/>
    </row>
    <row r="204" ht="22" hidden="1" customHeight="1" outlineLevel="2" spans="1:13">
      <c r="A204" s="281" t="s">
        <v>410</v>
      </c>
      <c r="B204" s="282">
        <v>132</v>
      </c>
      <c r="C204" s="282">
        <v>132</v>
      </c>
      <c r="D204" s="282"/>
      <c r="E204" s="276"/>
      <c r="F204" s="282">
        <f t="shared" si="21"/>
        <v>0</v>
      </c>
      <c r="G204" s="276"/>
      <c r="I204" s="295"/>
      <c r="J204" s="290"/>
      <c r="K204" s="290"/>
      <c r="L204" s="298"/>
      <c r="M204" s="298"/>
    </row>
    <row r="205" ht="22" hidden="1" customHeight="1" outlineLevel="2" spans="1:13">
      <c r="A205" s="281" t="s">
        <v>411</v>
      </c>
      <c r="B205" s="282">
        <v>135</v>
      </c>
      <c r="C205" s="282">
        <v>135</v>
      </c>
      <c r="D205" s="282"/>
      <c r="E205" s="276"/>
      <c r="F205" s="282">
        <f t="shared" si="21"/>
        <v>0</v>
      </c>
      <c r="G205" s="276"/>
      <c r="I205" s="295"/>
      <c r="J205" s="290"/>
      <c r="K205" s="290"/>
      <c r="L205" s="298"/>
      <c r="M205" s="298"/>
    </row>
    <row r="206" ht="22" hidden="1" customHeight="1" outlineLevel="2" spans="1:13">
      <c r="A206" s="281" t="s">
        <v>412</v>
      </c>
      <c r="B206" s="282">
        <v>758</v>
      </c>
      <c r="C206" s="282">
        <v>758</v>
      </c>
      <c r="D206" s="282">
        <v>1030</v>
      </c>
      <c r="E206" s="276"/>
      <c r="F206" s="282">
        <f t="shared" si="21"/>
        <v>1030</v>
      </c>
      <c r="G206" s="276"/>
      <c r="H206" s="280" t="s">
        <v>413</v>
      </c>
      <c r="I206" s="295" t="s">
        <v>265</v>
      </c>
      <c r="J206" s="290"/>
      <c r="K206" s="290">
        <v>1030</v>
      </c>
      <c r="L206" s="298">
        <v>213</v>
      </c>
      <c r="M206" s="298"/>
    </row>
    <row r="207" ht="22" hidden="1" customHeight="1" outlineLevel="2" spans="1:13">
      <c r="A207" s="281" t="s">
        <v>414</v>
      </c>
      <c r="B207" s="282">
        <v>1</v>
      </c>
      <c r="C207" s="282">
        <v>1</v>
      </c>
      <c r="D207" s="282"/>
      <c r="E207" s="276"/>
      <c r="F207" s="282">
        <f t="shared" si="21"/>
        <v>0</v>
      </c>
      <c r="G207" s="276"/>
      <c r="I207" s="295"/>
      <c r="J207" s="290"/>
      <c r="K207" s="290"/>
      <c r="L207" s="298"/>
      <c r="M207" s="298"/>
    </row>
    <row r="208" ht="22" hidden="1" customHeight="1" outlineLevel="2" spans="1:13">
      <c r="A208" s="281" t="s">
        <v>415</v>
      </c>
      <c r="B208" s="282">
        <v>54</v>
      </c>
      <c r="C208" s="282">
        <v>54</v>
      </c>
      <c r="D208" s="276">
        <v>346</v>
      </c>
      <c r="E208" s="276"/>
      <c r="F208" s="282">
        <f t="shared" si="21"/>
        <v>346</v>
      </c>
      <c r="G208" s="276"/>
      <c r="H208" s="280" t="s">
        <v>416</v>
      </c>
      <c r="I208" s="295" t="s">
        <v>265</v>
      </c>
      <c r="J208" s="290"/>
      <c r="K208" s="290">
        <v>346</v>
      </c>
      <c r="L208" s="298">
        <v>213</v>
      </c>
      <c r="M208" s="298"/>
    </row>
    <row r="209" ht="22" hidden="1" customHeight="1" outlineLevel="2" spans="1:13">
      <c r="A209" s="281" t="s">
        <v>417</v>
      </c>
      <c r="B209" s="282">
        <v>92</v>
      </c>
      <c r="C209" s="282">
        <v>92</v>
      </c>
      <c r="D209" s="282"/>
      <c r="E209" s="276"/>
      <c r="F209" s="282">
        <f t="shared" si="21"/>
        <v>0</v>
      </c>
      <c r="G209" s="276"/>
      <c r="I209" s="295"/>
      <c r="J209" s="290"/>
      <c r="K209" s="290"/>
      <c r="L209" s="298"/>
      <c r="M209" s="298"/>
    </row>
    <row r="210" ht="22" hidden="1" customHeight="1" outlineLevel="2" spans="1:13">
      <c r="A210" s="281" t="s">
        <v>418</v>
      </c>
      <c r="B210" s="282">
        <v>480</v>
      </c>
      <c r="C210" s="282">
        <v>480</v>
      </c>
      <c r="D210" s="282"/>
      <c r="E210" s="276"/>
      <c r="F210" s="282">
        <f t="shared" si="21"/>
        <v>0</v>
      </c>
      <c r="G210" s="276"/>
      <c r="I210" s="295"/>
      <c r="J210" s="290"/>
      <c r="K210" s="290"/>
      <c r="L210" s="298"/>
      <c r="M210" s="298"/>
    </row>
    <row r="211" ht="22" hidden="1" customHeight="1" outlineLevel="2" spans="1:13">
      <c r="A211" s="281" t="s">
        <v>419</v>
      </c>
      <c r="B211" s="282">
        <v>384</v>
      </c>
      <c r="C211" s="282">
        <v>384</v>
      </c>
      <c r="D211" s="282"/>
      <c r="E211" s="276"/>
      <c r="F211" s="282">
        <f t="shared" si="21"/>
        <v>0</v>
      </c>
      <c r="G211" s="276"/>
      <c r="I211" s="295"/>
      <c r="J211" s="290"/>
      <c r="K211" s="290"/>
      <c r="L211" s="298"/>
      <c r="M211" s="298"/>
    </row>
    <row r="212" ht="22" hidden="1" customHeight="1" outlineLevel="2" spans="1:13">
      <c r="A212" s="281" t="s">
        <v>420</v>
      </c>
      <c r="B212" s="282">
        <v>379</v>
      </c>
      <c r="C212" s="282">
        <v>379</v>
      </c>
      <c r="D212" s="282"/>
      <c r="E212" s="276"/>
      <c r="F212" s="282">
        <f t="shared" si="21"/>
        <v>0</v>
      </c>
      <c r="G212" s="276"/>
      <c r="I212" s="295"/>
      <c r="J212" s="290"/>
      <c r="K212" s="290"/>
      <c r="L212" s="298"/>
      <c r="M212" s="298"/>
    </row>
    <row r="213" ht="22" hidden="1" customHeight="1" outlineLevel="2" spans="1:13">
      <c r="A213" s="281" t="s">
        <v>421</v>
      </c>
      <c r="B213" s="282">
        <v>1271</v>
      </c>
      <c r="C213" s="282">
        <v>1271</v>
      </c>
      <c r="D213" s="282"/>
      <c r="E213" s="276"/>
      <c r="F213" s="282">
        <f t="shared" si="21"/>
        <v>0</v>
      </c>
      <c r="G213" s="276"/>
      <c r="I213" s="295"/>
      <c r="J213" s="290"/>
      <c r="K213" s="290"/>
      <c r="L213" s="298"/>
      <c r="M213" s="298"/>
    </row>
    <row r="214" ht="22" hidden="1" customHeight="1" outlineLevel="2" spans="1:13">
      <c r="A214" s="281" t="s">
        <v>422</v>
      </c>
      <c r="B214" s="282">
        <v>761</v>
      </c>
      <c r="C214" s="282">
        <v>761</v>
      </c>
      <c r="D214" s="282"/>
      <c r="E214" s="276"/>
      <c r="F214" s="282">
        <f t="shared" si="21"/>
        <v>0</v>
      </c>
      <c r="G214" s="276"/>
      <c r="I214" s="295"/>
      <c r="J214" s="290"/>
      <c r="K214" s="290"/>
      <c r="L214" s="298"/>
      <c r="M214" s="298"/>
    </row>
    <row r="215" ht="22" hidden="1" customHeight="1" outlineLevel="2" spans="1:13">
      <c r="A215" s="281" t="s">
        <v>423</v>
      </c>
      <c r="B215" s="282">
        <v>686</v>
      </c>
      <c r="C215" s="282">
        <v>686</v>
      </c>
      <c r="D215" s="282"/>
      <c r="E215" s="276"/>
      <c r="F215" s="282">
        <f t="shared" si="21"/>
        <v>0</v>
      </c>
      <c r="G215" s="276"/>
      <c r="I215" s="295"/>
      <c r="J215" s="290"/>
      <c r="K215" s="290"/>
      <c r="L215" s="298"/>
      <c r="M215" s="298"/>
    </row>
    <row r="216" ht="22" hidden="1" customHeight="1" outlineLevel="2" spans="1:13">
      <c r="A216" s="281" t="s">
        <v>424</v>
      </c>
      <c r="B216" s="282">
        <v>200</v>
      </c>
      <c r="C216" s="282">
        <v>200</v>
      </c>
      <c r="D216" s="282"/>
      <c r="E216" s="276"/>
      <c r="F216" s="282">
        <f t="shared" si="21"/>
        <v>0</v>
      </c>
      <c r="G216" s="276"/>
      <c r="I216" s="295"/>
      <c r="J216" s="290"/>
      <c r="K216" s="290"/>
      <c r="L216" s="298"/>
      <c r="M216" s="298"/>
    </row>
    <row r="217" ht="22" hidden="1" customHeight="1" outlineLevel="2" spans="1:13">
      <c r="A217" s="281" t="s">
        <v>425</v>
      </c>
      <c r="B217" s="282">
        <v>83</v>
      </c>
      <c r="C217" s="282">
        <v>83</v>
      </c>
      <c r="D217" s="282"/>
      <c r="E217" s="276"/>
      <c r="F217" s="282">
        <f t="shared" si="21"/>
        <v>0</v>
      </c>
      <c r="G217" s="276"/>
      <c r="I217" s="295"/>
      <c r="J217" s="290"/>
      <c r="K217" s="290"/>
      <c r="L217" s="298"/>
      <c r="M217" s="298"/>
    </row>
    <row r="218" ht="22" hidden="1" customHeight="1" outlineLevel="2" spans="1:13">
      <c r="A218" s="281" t="s">
        <v>426</v>
      </c>
      <c r="B218" s="282">
        <v>93</v>
      </c>
      <c r="C218" s="282">
        <v>93</v>
      </c>
      <c r="D218" s="282"/>
      <c r="E218" s="276"/>
      <c r="F218" s="282">
        <f t="shared" si="21"/>
        <v>0</v>
      </c>
      <c r="G218" s="276"/>
      <c r="I218" s="295"/>
      <c r="J218" s="290"/>
      <c r="K218" s="290"/>
      <c r="L218" s="298"/>
      <c r="M218" s="298"/>
    </row>
    <row r="219" ht="22" hidden="1" customHeight="1" outlineLevel="2" spans="1:13">
      <c r="A219" s="281" t="s">
        <v>426</v>
      </c>
      <c r="B219" s="282">
        <v>55</v>
      </c>
      <c r="C219" s="282">
        <v>55</v>
      </c>
      <c r="D219" s="282"/>
      <c r="E219" s="276"/>
      <c r="F219" s="282">
        <f t="shared" si="21"/>
        <v>0</v>
      </c>
      <c r="G219" s="276"/>
      <c r="I219" s="295"/>
      <c r="J219" s="290"/>
      <c r="K219" s="290"/>
      <c r="L219" s="298"/>
      <c r="M219" s="298"/>
    </row>
    <row r="220" ht="22" hidden="1" customHeight="1" outlineLevel="2" spans="1:13">
      <c r="A220" s="281" t="s">
        <v>427</v>
      </c>
      <c r="B220" s="282">
        <v>103</v>
      </c>
      <c r="C220" s="282">
        <v>103</v>
      </c>
      <c r="D220" s="282"/>
      <c r="E220" s="276"/>
      <c r="F220" s="282">
        <f t="shared" si="21"/>
        <v>0</v>
      </c>
      <c r="G220" s="276"/>
      <c r="I220" s="295"/>
      <c r="J220" s="290"/>
      <c r="K220" s="290"/>
      <c r="L220" s="298"/>
      <c r="M220" s="298"/>
    </row>
    <row r="221" ht="22" hidden="1" customHeight="1" outlineLevel="2" spans="1:13">
      <c r="A221" s="281" t="s">
        <v>428</v>
      </c>
      <c r="B221" s="282">
        <v>29</v>
      </c>
      <c r="C221" s="282">
        <v>29</v>
      </c>
      <c r="D221" s="282"/>
      <c r="E221" s="276"/>
      <c r="F221" s="282">
        <f t="shared" si="21"/>
        <v>0</v>
      </c>
      <c r="G221" s="276"/>
      <c r="I221" s="295"/>
      <c r="J221" s="290"/>
      <c r="K221" s="290"/>
      <c r="L221" s="298"/>
      <c r="M221" s="298"/>
    </row>
    <row r="222" ht="22" hidden="1" customHeight="1" outlineLevel="2" spans="1:13">
      <c r="A222" s="281" t="s">
        <v>428</v>
      </c>
      <c r="B222" s="282">
        <v>187</v>
      </c>
      <c r="C222" s="282">
        <v>187</v>
      </c>
      <c r="D222" s="282">
        <v>113</v>
      </c>
      <c r="E222" s="276"/>
      <c r="F222" s="282">
        <f t="shared" si="21"/>
        <v>113</v>
      </c>
      <c r="G222" s="276"/>
      <c r="H222" s="280" t="s">
        <v>429</v>
      </c>
      <c r="I222" s="295" t="s">
        <v>265</v>
      </c>
      <c r="J222" s="290"/>
      <c r="K222" s="290">
        <v>113</v>
      </c>
      <c r="L222" s="298">
        <v>213</v>
      </c>
      <c r="M222" s="298"/>
    </row>
    <row r="223" ht="22" hidden="1" customHeight="1" outlineLevel="2" spans="1:13">
      <c r="A223" s="281" t="s">
        <v>430</v>
      </c>
      <c r="B223" s="282">
        <v>420</v>
      </c>
      <c r="C223" s="282">
        <v>420</v>
      </c>
      <c r="D223" s="282"/>
      <c r="E223" s="276"/>
      <c r="F223" s="282">
        <f t="shared" si="21"/>
        <v>0</v>
      </c>
      <c r="G223" s="276"/>
      <c r="I223" s="295"/>
      <c r="J223" s="290"/>
      <c r="K223" s="290"/>
      <c r="L223" s="298"/>
      <c r="M223" s="298"/>
    </row>
    <row r="224" ht="22" hidden="1" customHeight="1" outlineLevel="2" spans="1:13">
      <c r="A224" s="301" t="s">
        <v>431</v>
      </c>
      <c r="B224" s="282"/>
      <c r="C224" s="282"/>
      <c r="D224" s="282">
        <v>198</v>
      </c>
      <c r="E224" s="276"/>
      <c r="F224" s="282">
        <f t="shared" si="21"/>
        <v>198</v>
      </c>
      <c r="G224" s="276"/>
      <c r="H224" s="280" t="s">
        <v>432</v>
      </c>
      <c r="I224" s="295" t="s">
        <v>265</v>
      </c>
      <c r="J224" s="290"/>
      <c r="K224" s="290">
        <v>198</v>
      </c>
      <c r="L224" s="298">
        <v>211</v>
      </c>
      <c r="M224" s="298"/>
    </row>
    <row r="225" ht="22" hidden="1" customHeight="1" outlineLevel="2" spans="1:13">
      <c r="A225" s="281" t="s">
        <v>433</v>
      </c>
      <c r="B225" s="282">
        <v>1958</v>
      </c>
      <c r="C225" s="282">
        <v>1958</v>
      </c>
      <c r="D225" s="282"/>
      <c r="E225" s="276"/>
      <c r="F225" s="282">
        <f t="shared" si="21"/>
        <v>0</v>
      </c>
      <c r="G225" s="276"/>
      <c r="I225" s="295"/>
      <c r="J225" s="290"/>
      <c r="K225" s="290"/>
      <c r="L225" s="298"/>
      <c r="M225" s="298"/>
    </row>
    <row r="226" ht="22" hidden="1" customHeight="1" outlineLevel="2" spans="1:13">
      <c r="A226" s="301" t="s">
        <v>434</v>
      </c>
      <c r="B226" s="282"/>
      <c r="C226" s="282"/>
      <c r="D226" s="282">
        <v>591</v>
      </c>
      <c r="E226" s="276"/>
      <c r="F226" s="282">
        <v>591</v>
      </c>
      <c r="G226" s="276"/>
      <c r="H226" s="280" t="s">
        <v>435</v>
      </c>
      <c r="I226" s="295" t="s">
        <v>265</v>
      </c>
      <c r="J226" s="290"/>
      <c r="K226" s="290">
        <v>591</v>
      </c>
      <c r="L226" s="298">
        <v>213</v>
      </c>
      <c r="M226" s="298">
        <v>2130321</v>
      </c>
    </row>
    <row r="227" ht="22" hidden="1" customHeight="1" outlineLevel="2" spans="1:13">
      <c r="A227" s="281" t="s">
        <v>436</v>
      </c>
      <c r="B227" s="282">
        <v>2436</v>
      </c>
      <c r="C227" s="282">
        <v>2436</v>
      </c>
      <c r="D227" s="282">
        <v>934</v>
      </c>
      <c r="E227" s="276"/>
      <c r="F227" s="282">
        <f t="shared" ref="F227:F233" si="22">D227</f>
        <v>934</v>
      </c>
      <c r="G227" s="276"/>
      <c r="H227" s="280" t="s">
        <v>437</v>
      </c>
      <c r="I227" s="295" t="s">
        <v>265</v>
      </c>
      <c r="J227" s="290"/>
      <c r="K227" s="290">
        <v>934</v>
      </c>
      <c r="L227" s="298" t="s">
        <v>438</v>
      </c>
      <c r="M227" s="298" t="s">
        <v>439</v>
      </c>
    </row>
    <row r="228" ht="22" hidden="1" customHeight="1" outlineLevel="2" spans="1:13">
      <c r="A228" s="281" t="s">
        <v>440</v>
      </c>
      <c r="B228" s="282">
        <v>1065</v>
      </c>
      <c r="C228" s="282">
        <v>1065</v>
      </c>
      <c r="D228" s="282">
        <v>1065</v>
      </c>
      <c r="E228" s="276"/>
      <c r="F228" s="282">
        <f t="shared" si="22"/>
        <v>1065</v>
      </c>
      <c r="G228" s="276"/>
      <c r="H228" s="280" t="s">
        <v>441</v>
      </c>
      <c r="I228" s="295" t="s">
        <v>265</v>
      </c>
      <c r="J228" s="290"/>
      <c r="K228" s="290">
        <v>1065</v>
      </c>
      <c r="L228" s="298" t="s">
        <v>442</v>
      </c>
      <c r="M228" s="298" t="s">
        <v>443</v>
      </c>
    </row>
    <row r="229" ht="22" hidden="1" customHeight="1" outlineLevel="2" spans="1:13">
      <c r="A229" s="281" t="s">
        <v>444</v>
      </c>
      <c r="B229" s="282">
        <v>4269</v>
      </c>
      <c r="C229" s="282">
        <v>4269</v>
      </c>
      <c r="D229" s="282">
        <v>4301</v>
      </c>
      <c r="E229" s="276"/>
      <c r="F229" s="282">
        <f t="shared" si="22"/>
        <v>4301</v>
      </c>
      <c r="G229" s="276"/>
      <c r="H229" s="280" t="s">
        <v>445</v>
      </c>
      <c r="I229" s="295" t="s">
        <v>265</v>
      </c>
      <c r="J229" s="290"/>
      <c r="K229" s="290">
        <v>4269</v>
      </c>
      <c r="L229" s="298" t="s">
        <v>446</v>
      </c>
      <c r="M229" s="298" t="s">
        <v>447</v>
      </c>
    </row>
    <row r="230" ht="22" hidden="1" customHeight="1" outlineLevel="2" spans="1:13">
      <c r="A230" s="281" t="s">
        <v>448</v>
      </c>
      <c r="B230" s="282">
        <v>4297</v>
      </c>
      <c r="C230" s="282">
        <v>4297</v>
      </c>
      <c r="D230" s="282">
        <v>2000</v>
      </c>
      <c r="E230" s="276"/>
      <c r="F230" s="282">
        <f t="shared" si="22"/>
        <v>2000</v>
      </c>
      <c r="G230" s="276"/>
      <c r="H230" s="280" t="s">
        <v>449</v>
      </c>
      <c r="I230" s="295" t="s">
        <v>265</v>
      </c>
      <c r="J230" s="290"/>
      <c r="K230" s="290">
        <v>2000</v>
      </c>
      <c r="L230" s="298" t="s">
        <v>446</v>
      </c>
      <c r="M230" s="298" t="s">
        <v>450</v>
      </c>
    </row>
    <row r="231" ht="22" hidden="1" customHeight="1" outlineLevel="2" spans="1:13">
      <c r="A231" s="281" t="s">
        <v>451</v>
      </c>
      <c r="B231" s="282">
        <v>75</v>
      </c>
      <c r="C231" s="282">
        <v>75</v>
      </c>
      <c r="D231" s="282"/>
      <c r="E231" s="276"/>
      <c r="F231" s="282">
        <f t="shared" si="22"/>
        <v>0</v>
      </c>
      <c r="G231" s="276"/>
      <c r="H231" s="280"/>
      <c r="I231" s="295" t="s">
        <v>265</v>
      </c>
      <c r="J231" s="290"/>
      <c r="K231" s="290"/>
      <c r="L231" s="298"/>
      <c r="M231" s="298" t="s">
        <v>452</v>
      </c>
    </row>
    <row r="232" ht="22" hidden="1" customHeight="1" outlineLevel="2" spans="1:13">
      <c r="A232" s="281" t="s">
        <v>453</v>
      </c>
      <c r="B232" s="282">
        <v>299</v>
      </c>
      <c r="C232" s="282">
        <v>299</v>
      </c>
      <c r="D232" s="282"/>
      <c r="E232" s="276"/>
      <c r="F232" s="282">
        <f t="shared" si="22"/>
        <v>0</v>
      </c>
      <c r="G232" s="276"/>
      <c r="H232" s="280"/>
      <c r="I232" s="295" t="s">
        <v>265</v>
      </c>
      <c r="J232" s="290"/>
      <c r="K232" s="290"/>
      <c r="L232" s="298"/>
      <c r="M232" s="298" t="s">
        <v>452</v>
      </c>
    </row>
    <row r="233" ht="22" hidden="1" customHeight="1" outlineLevel="2" spans="1:13">
      <c r="A233" s="281" t="s">
        <v>454</v>
      </c>
      <c r="B233" s="282">
        <v>1529</v>
      </c>
      <c r="C233" s="282">
        <v>1529</v>
      </c>
      <c r="D233" s="282">
        <v>1044</v>
      </c>
      <c r="E233" s="276"/>
      <c r="F233" s="282">
        <f t="shared" si="22"/>
        <v>1044</v>
      </c>
      <c r="G233" s="276"/>
      <c r="H233" s="280" t="s">
        <v>455</v>
      </c>
      <c r="I233" s="295" t="s">
        <v>265</v>
      </c>
      <c r="J233" s="290"/>
      <c r="K233" s="290">
        <v>1044</v>
      </c>
      <c r="L233" s="298"/>
      <c r="M233" s="298" t="s">
        <v>452</v>
      </c>
    </row>
    <row r="234" ht="22" customHeight="1" outlineLevel="1" collapsed="1" spans="1:13">
      <c r="A234" s="281" t="s">
        <v>456</v>
      </c>
      <c r="B234" s="282">
        <f t="shared" ref="B234:F234" si="23">SUM(B235:B248)</f>
        <v>6275</v>
      </c>
      <c r="C234" s="282">
        <f t="shared" si="23"/>
        <v>6275</v>
      </c>
      <c r="D234" s="282">
        <f t="shared" si="23"/>
        <v>7905</v>
      </c>
      <c r="E234" s="282">
        <f t="shared" si="23"/>
        <v>0</v>
      </c>
      <c r="F234" s="282">
        <f t="shared" si="23"/>
        <v>7905</v>
      </c>
      <c r="G234" s="276"/>
      <c r="H234" s="280"/>
      <c r="I234" s="295"/>
      <c r="J234" s="290"/>
      <c r="K234" s="290"/>
      <c r="L234" s="298"/>
      <c r="M234" s="298"/>
    </row>
    <row r="235" ht="22" hidden="1" customHeight="1" outlineLevel="2" spans="1:13">
      <c r="A235" s="281" t="s">
        <v>457</v>
      </c>
      <c r="B235" s="282">
        <v>481</v>
      </c>
      <c r="C235" s="282">
        <v>481</v>
      </c>
      <c r="D235" s="282">
        <v>231</v>
      </c>
      <c r="E235" s="282"/>
      <c r="F235" s="282">
        <f>D235</f>
        <v>231</v>
      </c>
      <c r="G235" s="276"/>
      <c r="H235" s="280" t="s">
        <v>458</v>
      </c>
      <c r="I235" s="295" t="s">
        <v>265</v>
      </c>
      <c r="J235" s="290"/>
      <c r="K235" s="290">
        <v>231</v>
      </c>
      <c r="L235" s="298">
        <v>214</v>
      </c>
      <c r="M235" s="298"/>
    </row>
    <row r="236" ht="22" hidden="1" customHeight="1" outlineLevel="2" spans="1:13">
      <c r="A236" s="301" t="s">
        <v>459</v>
      </c>
      <c r="B236" s="282"/>
      <c r="C236" s="282"/>
      <c r="D236" s="282">
        <v>4620</v>
      </c>
      <c r="E236" s="282"/>
      <c r="F236" s="282">
        <v>4620</v>
      </c>
      <c r="G236" s="276"/>
      <c r="H236" s="280" t="s">
        <v>460</v>
      </c>
      <c r="I236" s="295" t="s">
        <v>265</v>
      </c>
      <c r="J236" s="290"/>
      <c r="K236" s="290">
        <v>4620</v>
      </c>
      <c r="L236" s="298">
        <v>214</v>
      </c>
      <c r="M236" s="298"/>
    </row>
    <row r="237" ht="22" hidden="1" customHeight="1" outlineLevel="2" spans="1:13">
      <c r="A237" s="281" t="s">
        <v>461</v>
      </c>
      <c r="B237" s="282">
        <v>2311</v>
      </c>
      <c r="C237" s="282">
        <v>2311</v>
      </c>
      <c r="D237" s="282">
        <v>2089</v>
      </c>
      <c r="E237" s="282"/>
      <c r="F237" s="282">
        <v>2089</v>
      </c>
      <c r="G237" s="276"/>
      <c r="H237" s="280" t="s">
        <v>462</v>
      </c>
      <c r="I237" s="295" t="s">
        <v>265</v>
      </c>
      <c r="J237" s="290"/>
      <c r="K237" s="290">
        <v>2089</v>
      </c>
      <c r="L237" s="298">
        <v>214</v>
      </c>
      <c r="M237" s="298"/>
    </row>
    <row r="238" ht="22" hidden="1" customHeight="1" outlineLevel="2" spans="1:13">
      <c r="A238" s="281" t="s">
        <v>463</v>
      </c>
      <c r="B238" s="282">
        <v>26</v>
      </c>
      <c r="C238" s="282">
        <v>26</v>
      </c>
      <c r="D238" s="282"/>
      <c r="E238" s="282"/>
      <c r="F238" s="282"/>
      <c r="G238" s="276"/>
      <c r="H238" s="280"/>
      <c r="I238" s="295"/>
      <c r="J238" s="290"/>
      <c r="K238" s="290"/>
      <c r="L238" s="298"/>
      <c r="M238" s="298"/>
    </row>
    <row r="239" ht="22" hidden="1" customHeight="1" outlineLevel="2" spans="1:13">
      <c r="A239" s="281" t="s">
        <v>464</v>
      </c>
      <c r="B239" s="282">
        <v>770</v>
      </c>
      <c r="C239" s="282">
        <v>770</v>
      </c>
      <c r="D239" s="282">
        <v>965</v>
      </c>
      <c r="E239" s="282"/>
      <c r="F239" s="282">
        <v>965</v>
      </c>
      <c r="G239" s="276"/>
      <c r="H239" s="280" t="s">
        <v>465</v>
      </c>
      <c r="I239" s="295" t="s">
        <v>265</v>
      </c>
      <c r="J239" s="290"/>
      <c r="K239" s="290">
        <v>965</v>
      </c>
      <c r="L239" s="298">
        <v>214</v>
      </c>
      <c r="M239" s="298"/>
    </row>
    <row r="240" ht="22" hidden="1" customHeight="1" outlineLevel="2" spans="1:13">
      <c r="A240" s="281" t="s">
        <v>466</v>
      </c>
      <c r="B240" s="282">
        <v>-47</v>
      </c>
      <c r="C240" s="282">
        <v>-47</v>
      </c>
      <c r="D240" s="282"/>
      <c r="E240" s="282"/>
      <c r="F240" s="282"/>
      <c r="G240" s="276"/>
      <c r="H240" s="280"/>
      <c r="I240" s="295"/>
      <c r="J240" s="290"/>
      <c r="K240" s="290"/>
      <c r="L240" s="298"/>
      <c r="M240" s="298"/>
    </row>
    <row r="241" ht="22" hidden="1" customHeight="1" outlineLevel="2" spans="1:13">
      <c r="A241" s="281" t="s">
        <v>467</v>
      </c>
      <c r="B241" s="282">
        <v>110</v>
      </c>
      <c r="C241" s="282">
        <v>110</v>
      </c>
      <c r="D241" s="282"/>
      <c r="E241" s="282"/>
      <c r="F241" s="282"/>
      <c r="G241" s="276"/>
      <c r="H241" s="280"/>
      <c r="I241" s="295"/>
      <c r="J241" s="290"/>
      <c r="K241" s="290"/>
      <c r="L241" s="298"/>
      <c r="M241" s="298"/>
    </row>
    <row r="242" ht="22" hidden="1" customHeight="1" outlineLevel="2" spans="1:13">
      <c r="A242" s="281" t="s">
        <v>468</v>
      </c>
      <c r="B242" s="282">
        <v>37</v>
      </c>
      <c r="C242" s="282">
        <v>37</v>
      </c>
      <c r="D242" s="282"/>
      <c r="E242" s="282"/>
      <c r="F242" s="282"/>
      <c r="G242" s="276"/>
      <c r="H242" s="280"/>
      <c r="I242" s="295"/>
      <c r="J242" s="290"/>
      <c r="K242" s="290"/>
      <c r="L242" s="298"/>
      <c r="M242" s="298"/>
    </row>
    <row r="243" ht="22" hidden="1" customHeight="1" outlineLevel="2" spans="1:13">
      <c r="A243" s="281" t="s">
        <v>469</v>
      </c>
      <c r="B243" s="282">
        <v>2092</v>
      </c>
      <c r="C243" s="282">
        <v>2092</v>
      </c>
      <c r="D243" s="282"/>
      <c r="E243" s="282"/>
      <c r="F243" s="282"/>
      <c r="G243" s="276"/>
      <c r="H243" s="280"/>
      <c r="I243" s="295"/>
      <c r="J243" s="290"/>
      <c r="K243" s="290"/>
      <c r="L243" s="298"/>
      <c r="M243" s="298"/>
    </row>
    <row r="244" ht="22" hidden="1" customHeight="1" outlineLevel="2" spans="1:13">
      <c r="A244" s="281" t="s">
        <v>469</v>
      </c>
      <c r="B244" s="282">
        <v>50</v>
      </c>
      <c r="C244" s="282">
        <v>50</v>
      </c>
      <c r="D244" s="282"/>
      <c r="E244" s="282"/>
      <c r="F244" s="282"/>
      <c r="G244" s="276"/>
      <c r="H244" s="280"/>
      <c r="I244" s="295"/>
      <c r="J244" s="290"/>
      <c r="K244" s="290"/>
      <c r="L244" s="298"/>
      <c r="M244" s="298"/>
    </row>
    <row r="245" ht="22" hidden="1" customHeight="1" outlineLevel="2" spans="1:13">
      <c r="A245" s="281" t="s">
        <v>469</v>
      </c>
      <c r="B245" s="282">
        <v>162</v>
      </c>
      <c r="C245" s="282">
        <v>162</v>
      </c>
      <c r="D245" s="282"/>
      <c r="E245" s="282"/>
      <c r="F245" s="282"/>
      <c r="G245" s="276"/>
      <c r="H245" s="280"/>
      <c r="I245" s="295"/>
      <c r="J245" s="290"/>
      <c r="K245" s="290"/>
      <c r="L245" s="298"/>
      <c r="M245" s="298"/>
    </row>
    <row r="246" ht="22" hidden="1" customHeight="1" outlineLevel="2" spans="1:13">
      <c r="A246" s="281" t="s">
        <v>468</v>
      </c>
      <c r="B246" s="282">
        <v>35</v>
      </c>
      <c r="C246" s="282">
        <v>35</v>
      </c>
      <c r="D246" s="282"/>
      <c r="E246" s="282"/>
      <c r="F246" s="282"/>
      <c r="G246" s="276"/>
      <c r="H246" s="280"/>
      <c r="I246" s="295"/>
      <c r="J246" s="290"/>
      <c r="K246" s="290"/>
      <c r="L246" s="298"/>
      <c r="M246" s="298"/>
    </row>
    <row r="247" ht="22" hidden="1" customHeight="1" outlineLevel="2" spans="1:13">
      <c r="A247" s="281" t="s">
        <v>470</v>
      </c>
      <c r="B247" s="282">
        <v>209</v>
      </c>
      <c r="C247" s="282">
        <v>209</v>
      </c>
      <c r="D247" s="282"/>
      <c r="E247" s="282"/>
      <c r="F247" s="282"/>
      <c r="G247" s="276"/>
      <c r="H247" s="280"/>
      <c r="I247" s="295"/>
      <c r="J247" s="290"/>
      <c r="K247" s="290"/>
      <c r="L247" s="298"/>
      <c r="M247" s="298"/>
    </row>
    <row r="248" ht="22" hidden="1" customHeight="1" outlineLevel="2" spans="1:13">
      <c r="A248" s="281" t="s">
        <v>468</v>
      </c>
      <c r="B248" s="282">
        <v>39</v>
      </c>
      <c r="C248" s="282">
        <v>39</v>
      </c>
      <c r="D248" s="282"/>
      <c r="E248" s="282"/>
      <c r="F248" s="282"/>
      <c r="G248" s="276"/>
      <c r="H248" s="280"/>
      <c r="I248" s="295"/>
      <c r="J248" s="290"/>
      <c r="K248" s="290"/>
      <c r="L248" s="298"/>
      <c r="M248" s="298"/>
    </row>
    <row r="249" ht="22" customHeight="1" outlineLevel="1" collapsed="1" spans="1:13">
      <c r="A249" s="281" t="s">
        <v>471</v>
      </c>
      <c r="B249" s="282">
        <f t="shared" ref="B249:F249" si="24">SUM(B250:B255)</f>
        <v>4413</v>
      </c>
      <c r="C249" s="282">
        <f t="shared" si="24"/>
        <v>4413</v>
      </c>
      <c r="D249" s="282">
        <f t="shared" si="24"/>
        <v>2456</v>
      </c>
      <c r="E249" s="282">
        <f t="shared" si="24"/>
        <v>0</v>
      </c>
      <c r="F249" s="282">
        <f t="shared" si="24"/>
        <v>2456</v>
      </c>
      <c r="G249" s="276"/>
      <c r="H249" s="280"/>
      <c r="I249" s="295"/>
      <c r="J249" s="290"/>
      <c r="K249" s="290"/>
      <c r="L249" s="298"/>
      <c r="M249" s="298"/>
    </row>
    <row r="250" ht="22" hidden="1" customHeight="1" outlineLevel="2" spans="1:13">
      <c r="A250" s="281" t="s">
        <v>472</v>
      </c>
      <c r="B250" s="282">
        <v>39</v>
      </c>
      <c r="C250" s="282">
        <v>39</v>
      </c>
      <c r="D250" s="282"/>
      <c r="E250" s="282"/>
      <c r="F250" s="282"/>
      <c r="G250" s="276"/>
      <c r="H250" s="280"/>
      <c r="I250" s="295"/>
      <c r="J250" s="290"/>
      <c r="K250" s="290"/>
      <c r="L250" s="298"/>
      <c r="M250" s="298"/>
    </row>
    <row r="251" ht="22" hidden="1" customHeight="1" outlineLevel="2" spans="1:13">
      <c r="A251" s="281" t="s">
        <v>472</v>
      </c>
      <c r="B251" s="282">
        <v>199</v>
      </c>
      <c r="C251" s="282">
        <v>199</v>
      </c>
      <c r="D251" s="282"/>
      <c r="E251" s="282"/>
      <c r="F251" s="282"/>
      <c r="G251" s="276"/>
      <c r="H251" s="280"/>
      <c r="I251" s="295"/>
      <c r="J251" s="290"/>
      <c r="K251" s="290"/>
      <c r="L251" s="298"/>
      <c r="M251" s="298"/>
    </row>
    <row r="252" ht="22" hidden="1" customHeight="1" outlineLevel="2" spans="1:13">
      <c r="A252" s="281" t="s">
        <v>473</v>
      </c>
      <c r="B252" s="282">
        <v>977</v>
      </c>
      <c r="C252" s="282">
        <v>977</v>
      </c>
      <c r="D252" s="282"/>
      <c r="E252" s="282"/>
      <c r="F252" s="282"/>
      <c r="G252" s="276"/>
      <c r="H252" s="280"/>
      <c r="I252" s="295"/>
      <c r="J252" s="290"/>
      <c r="K252" s="290"/>
      <c r="L252" s="298"/>
      <c r="M252" s="298"/>
    </row>
    <row r="253" ht="22" hidden="1" customHeight="1" outlineLevel="2" spans="1:13">
      <c r="A253" s="281" t="s">
        <v>473</v>
      </c>
      <c r="B253" s="282">
        <v>70</v>
      </c>
      <c r="C253" s="282">
        <v>70</v>
      </c>
      <c r="D253" s="282"/>
      <c r="E253" s="282"/>
      <c r="F253" s="282"/>
      <c r="G253" s="276"/>
      <c r="H253" s="280"/>
      <c r="I253" s="295"/>
      <c r="J253" s="290"/>
      <c r="K253" s="290"/>
      <c r="L253" s="298"/>
      <c r="M253" s="298"/>
    </row>
    <row r="254" ht="22" hidden="1" customHeight="1" outlineLevel="2" spans="1:13">
      <c r="A254" s="281" t="s">
        <v>473</v>
      </c>
      <c r="B254" s="282">
        <v>3116</v>
      </c>
      <c r="C254" s="282">
        <v>3116</v>
      </c>
      <c r="D254" s="282">
        <v>2456</v>
      </c>
      <c r="E254" s="282"/>
      <c r="F254" s="282">
        <v>2456</v>
      </c>
      <c r="G254" s="276"/>
      <c r="H254" s="280" t="s">
        <v>474</v>
      </c>
      <c r="I254" s="295" t="s">
        <v>265</v>
      </c>
      <c r="J254" s="290"/>
      <c r="K254" s="290">
        <v>2456</v>
      </c>
      <c r="L254" s="298"/>
      <c r="M254" s="298"/>
    </row>
    <row r="255" ht="22" hidden="1" customHeight="1" outlineLevel="2" spans="1:13">
      <c r="A255" s="281" t="s">
        <v>472</v>
      </c>
      <c r="B255" s="282">
        <v>12</v>
      </c>
      <c r="C255" s="282">
        <v>12</v>
      </c>
      <c r="D255" s="282"/>
      <c r="E255" s="282"/>
      <c r="F255" s="282"/>
      <c r="G255" s="276"/>
      <c r="H255" s="280"/>
      <c r="I255" s="295"/>
      <c r="J255" s="290"/>
      <c r="K255" s="290"/>
      <c r="L255" s="298"/>
      <c r="M255" s="298"/>
    </row>
    <row r="256" ht="22" customHeight="1" outlineLevel="1" collapsed="1" spans="1:13">
      <c r="A256" s="281" t="s">
        <v>475</v>
      </c>
      <c r="B256" s="282">
        <f t="shared" ref="B256:F256" si="25">SUM(B257)</f>
        <v>977</v>
      </c>
      <c r="C256" s="282">
        <f t="shared" si="25"/>
        <v>977</v>
      </c>
      <c r="D256" s="282">
        <f t="shared" si="25"/>
        <v>879</v>
      </c>
      <c r="E256" s="282">
        <f t="shared" si="25"/>
        <v>0</v>
      </c>
      <c r="F256" s="282">
        <f t="shared" si="25"/>
        <v>879</v>
      </c>
      <c r="G256" s="276"/>
      <c r="H256" s="280"/>
      <c r="I256" s="295"/>
      <c r="J256" s="290"/>
      <c r="K256" s="290"/>
      <c r="L256" s="298"/>
      <c r="M256" s="298"/>
    </row>
    <row r="257" ht="22" hidden="1" customHeight="1" outlineLevel="2" spans="1:13">
      <c r="A257" s="281" t="s">
        <v>476</v>
      </c>
      <c r="B257" s="282">
        <v>977</v>
      </c>
      <c r="C257" s="282">
        <v>977</v>
      </c>
      <c r="D257" s="282">
        <v>879</v>
      </c>
      <c r="E257" s="282"/>
      <c r="F257" s="282">
        <f>D257</f>
        <v>879</v>
      </c>
      <c r="G257" s="276"/>
      <c r="H257" s="280" t="s">
        <v>477</v>
      </c>
      <c r="I257" s="295" t="s">
        <v>265</v>
      </c>
      <c r="J257" s="290"/>
      <c r="K257" s="290">
        <v>879</v>
      </c>
      <c r="L257" s="298">
        <v>222</v>
      </c>
      <c r="M257" s="298"/>
    </row>
    <row r="258" ht="22" customHeight="1" outlineLevel="1" collapsed="1" spans="1:13">
      <c r="A258" s="281" t="s">
        <v>478</v>
      </c>
      <c r="B258" s="282">
        <f t="shared" ref="B258:F258" si="26">SUM(B259:B262)</f>
        <v>306</v>
      </c>
      <c r="C258" s="282">
        <f t="shared" si="26"/>
        <v>306</v>
      </c>
      <c r="D258" s="282">
        <f t="shared" si="26"/>
        <v>0</v>
      </c>
      <c r="E258" s="282">
        <f t="shared" si="26"/>
        <v>0</v>
      </c>
      <c r="F258" s="282">
        <f t="shared" si="26"/>
        <v>0</v>
      </c>
      <c r="G258" s="276"/>
      <c r="H258" s="280"/>
      <c r="I258" s="295"/>
      <c r="J258" s="290"/>
      <c r="K258" s="290"/>
      <c r="L258" s="298"/>
      <c r="M258" s="298"/>
    </row>
    <row r="259" ht="22" hidden="1" customHeight="1" outlineLevel="2" spans="1:13">
      <c r="A259" s="281" t="s">
        <v>479</v>
      </c>
      <c r="B259" s="282">
        <v>120</v>
      </c>
      <c r="C259" s="282">
        <v>120</v>
      </c>
      <c r="D259" s="282"/>
      <c r="E259" s="282"/>
      <c r="F259" s="282"/>
      <c r="G259" s="276"/>
      <c r="H259" s="280"/>
      <c r="I259" s="295"/>
      <c r="J259" s="290"/>
      <c r="K259" s="290"/>
      <c r="L259" s="298"/>
      <c r="M259" s="298"/>
    </row>
    <row r="260" ht="22" hidden="1" customHeight="1" outlineLevel="2" spans="1:13">
      <c r="A260" s="281" t="s">
        <v>480</v>
      </c>
      <c r="B260" s="282">
        <v>10</v>
      </c>
      <c r="C260" s="282">
        <v>10</v>
      </c>
      <c r="D260" s="282"/>
      <c r="E260" s="282"/>
      <c r="F260" s="282"/>
      <c r="G260" s="276"/>
      <c r="H260" s="280"/>
      <c r="I260" s="295"/>
      <c r="J260" s="290"/>
      <c r="K260" s="290"/>
      <c r="L260" s="298"/>
      <c r="M260" s="298"/>
    </row>
    <row r="261" ht="22" hidden="1" customHeight="1" outlineLevel="2" spans="1:13">
      <c r="A261" s="281" t="s">
        <v>481</v>
      </c>
      <c r="B261" s="282">
        <v>76</v>
      </c>
      <c r="C261" s="282">
        <v>76</v>
      </c>
      <c r="D261" s="282"/>
      <c r="E261" s="282"/>
      <c r="F261" s="282"/>
      <c r="G261" s="276"/>
      <c r="H261" s="280"/>
      <c r="I261" s="295"/>
      <c r="J261" s="290"/>
      <c r="K261" s="290"/>
      <c r="L261" s="298"/>
      <c r="M261" s="298"/>
    </row>
    <row r="262" ht="22" hidden="1" customHeight="1" outlineLevel="2" spans="1:13">
      <c r="A262" s="281" t="s">
        <v>482</v>
      </c>
      <c r="B262" s="282">
        <v>100</v>
      </c>
      <c r="C262" s="282">
        <v>100</v>
      </c>
      <c r="D262" s="282"/>
      <c r="E262" s="282"/>
      <c r="F262" s="282"/>
      <c r="G262" s="276"/>
      <c r="H262" s="280"/>
      <c r="I262" s="295"/>
      <c r="J262" s="290"/>
      <c r="K262" s="290"/>
      <c r="L262" s="298"/>
      <c r="M262" s="298"/>
    </row>
    <row r="263" ht="22" customHeight="1" outlineLevel="1" collapsed="1" spans="1:13">
      <c r="A263" s="281" t="s">
        <v>483</v>
      </c>
      <c r="B263" s="282">
        <f t="shared" ref="B263:F263" si="27">SUM(B264)</f>
        <v>17862</v>
      </c>
      <c r="C263" s="282">
        <f t="shared" si="27"/>
        <v>17862</v>
      </c>
      <c r="D263" s="282">
        <f t="shared" si="27"/>
        <v>0</v>
      </c>
      <c r="E263" s="282">
        <f t="shared" si="27"/>
        <v>0</v>
      </c>
      <c r="F263" s="282">
        <f t="shared" si="27"/>
        <v>0</v>
      </c>
      <c r="G263" s="276"/>
      <c r="H263" s="280"/>
      <c r="I263" s="295"/>
      <c r="J263" s="290"/>
      <c r="K263" s="290"/>
      <c r="L263" s="298"/>
      <c r="M263" s="298"/>
    </row>
    <row r="264" ht="22" hidden="1" customHeight="1" outlineLevel="2" spans="1:13">
      <c r="A264" s="281" t="s">
        <v>484</v>
      </c>
      <c r="B264" s="282">
        <v>17862</v>
      </c>
      <c r="C264" s="282">
        <v>17862</v>
      </c>
      <c r="D264" s="282"/>
      <c r="E264" s="282">
        <f>D264</f>
        <v>0</v>
      </c>
      <c r="F264" s="282"/>
      <c r="G264" s="276"/>
      <c r="H264" s="280"/>
      <c r="I264" s="295"/>
      <c r="J264" s="290"/>
      <c r="K264" s="290"/>
      <c r="L264" s="298"/>
      <c r="M264" s="298"/>
    </row>
    <row r="265" ht="22" customHeight="1" outlineLevel="1" collapsed="1" spans="1:13">
      <c r="A265" s="281" t="s">
        <v>485</v>
      </c>
      <c r="B265" s="282">
        <f>SUM(B266:B267)</f>
        <v>1791</v>
      </c>
      <c r="C265" s="282">
        <f>SUM(C266:C267)</f>
        <v>1791</v>
      </c>
      <c r="D265" s="282">
        <f>SUM(D266:D267)</f>
        <v>0</v>
      </c>
      <c r="E265" s="282">
        <f>SUM(E266:E267)</f>
        <v>0</v>
      </c>
      <c r="F265" s="282"/>
      <c r="G265" s="276"/>
      <c r="H265" s="280"/>
      <c r="I265" s="295"/>
      <c r="J265" s="290"/>
      <c r="K265" s="290"/>
      <c r="L265" s="298"/>
      <c r="M265" s="298"/>
    </row>
    <row r="266" ht="22" hidden="1" customHeight="1" outlineLevel="2" spans="1:13">
      <c r="A266" s="281" t="s">
        <v>484</v>
      </c>
      <c r="B266" s="282">
        <v>1019</v>
      </c>
      <c r="C266" s="282">
        <v>1019</v>
      </c>
      <c r="D266" s="282"/>
      <c r="E266" s="282">
        <f>D266</f>
        <v>0</v>
      </c>
      <c r="F266" s="282"/>
      <c r="G266" s="276"/>
      <c r="H266" s="280"/>
      <c r="I266" s="295"/>
      <c r="J266" s="290"/>
      <c r="K266" s="290"/>
      <c r="L266" s="298"/>
      <c r="M266" s="298"/>
    </row>
    <row r="267" ht="22" hidden="1" customHeight="1" outlineLevel="2" spans="1:13">
      <c r="A267" s="281" t="s">
        <v>486</v>
      </c>
      <c r="B267" s="282">
        <v>772</v>
      </c>
      <c r="C267" s="282">
        <v>772</v>
      </c>
      <c r="D267" s="282"/>
      <c r="E267" s="282"/>
      <c r="F267" s="282"/>
      <c r="G267" s="276"/>
      <c r="H267" s="280"/>
      <c r="I267" s="295"/>
      <c r="J267" s="290"/>
      <c r="K267" s="290"/>
      <c r="L267" s="298"/>
      <c r="M267" s="298"/>
    </row>
    <row r="268" ht="22" customHeight="1" outlineLevel="1" collapsed="1" spans="1:13">
      <c r="A268" s="281" t="s">
        <v>487</v>
      </c>
      <c r="B268" s="282">
        <f t="shared" ref="B268:F268" si="28">SUM(B269)</f>
        <v>1</v>
      </c>
      <c r="C268" s="282">
        <f t="shared" si="28"/>
        <v>1</v>
      </c>
      <c r="D268" s="282">
        <f t="shared" si="28"/>
        <v>0</v>
      </c>
      <c r="E268" s="282">
        <f t="shared" si="28"/>
        <v>0</v>
      </c>
      <c r="F268" s="282">
        <f t="shared" si="28"/>
        <v>0</v>
      </c>
      <c r="G268" s="276"/>
      <c r="H268" s="280"/>
      <c r="J268" s="290"/>
      <c r="K268" s="290"/>
      <c r="L268" s="298"/>
      <c r="M268" s="298"/>
    </row>
    <row r="269" customFormat="1" ht="22" hidden="1" customHeight="1" outlineLevel="2" spans="1:13">
      <c r="A269" s="276" t="s">
        <v>488</v>
      </c>
      <c r="B269" s="276">
        <v>1</v>
      </c>
      <c r="C269" s="282">
        <v>1</v>
      </c>
      <c r="D269" s="282"/>
      <c r="E269" s="282"/>
      <c r="F269" s="282"/>
      <c r="G269" s="276"/>
      <c r="H269" s="280"/>
      <c r="I269" s="268"/>
      <c r="J269" s="290"/>
      <c r="K269" s="290"/>
      <c r="L269" s="298"/>
      <c r="M269" s="298"/>
    </row>
    <row r="270" s="161" customFormat="1" ht="22" customHeight="1" spans="1:13">
      <c r="A270" s="277" t="s">
        <v>489</v>
      </c>
      <c r="B270" s="278">
        <f>SUM(B271,B277,B279,B280,B282,B284,B289,B295,B298,B299,B309,B310,B313,B314,B316,B319,B320,B324)</f>
        <v>29318</v>
      </c>
      <c r="C270" s="278">
        <f>SUM(C271,C277,C279,C280,C282,C284,C289,C295,C298,C299,C309,C310,C313,C314,C316,C319,C320,C324)</f>
        <v>29318</v>
      </c>
      <c r="D270" s="278">
        <f>SUM(D271,D277,D279,D280,D282,D284,D289,D295,D298,D299,D309,D310,D313,D314,D316,D319,D320,D324)</f>
        <v>4058</v>
      </c>
      <c r="E270" s="278">
        <f>SUM(E271,E277,E279,E280,E282,E284,E289,E295,E298,E299,E309,E310,E313,E314,E316,E319,E320,E324)</f>
        <v>0</v>
      </c>
      <c r="F270" s="278">
        <f>SUM(F271,F276,F279,F280,F282,F284,F289,F295,F298,F299,F309,F310,F313,F314,F316,F319,F320,F324)</f>
        <v>4058</v>
      </c>
      <c r="G270" s="279"/>
      <c r="H270" s="280"/>
      <c r="I270" s="292"/>
      <c r="J270" s="293">
        <f>SUM(J271:J324)</f>
        <v>0</v>
      </c>
      <c r="K270" s="293"/>
      <c r="L270" s="298"/>
      <c r="M270" s="298"/>
    </row>
    <row r="271" ht="22" customHeight="1" outlineLevel="1" collapsed="1" spans="1:13">
      <c r="A271" s="281" t="s">
        <v>490</v>
      </c>
      <c r="B271" s="282">
        <f t="shared" ref="B271:F271" si="29">SUM(B272:B276)</f>
        <v>106</v>
      </c>
      <c r="C271" s="282">
        <f t="shared" si="29"/>
        <v>106</v>
      </c>
      <c r="D271" s="282">
        <f t="shared" si="29"/>
        <v>0</v>
      </c>
      <c r="E271" s="282">
        <f t="shared" si="29"/>
        <v>0</v>
      </c>
      <c r="F271" s="282">
        <f t="shared" si="29"/>
        <v>0</v>
      </c>
      <c r="G271" s="276"/>
      <c r="H271" s="280"/>
      <c r="J271" s="290"/>
      <c r="K271" s="290"/>
      <c r="L271" s="298"/>
      <c r="M271" s="298"/>
    </row>
    <row r="272" ht="22" hidden="1" customHeight="1" outlineLevel="2" spans="1:13">
      <c r="A272" s="281" t="s">
        <v>491</v>
      </c>
      <c r="B272" s="282">
        <v>11</v>
      </c>
      <c r="C272" s="282">
        <v>11</v>
      </c>
      <c r="D272" s="282"/>
      <c r="E272" s="282"/>
      <c r="F272" s="282"/>
      <c r="G272" s="276"/>
      <c r="H272" s="280"/>
      <c r="J272" s="290"/>
      <c r="K272" s="290"/>
      <c r="L272" s="298"/>
      <c r="M272" s="298"/>
    </row>
    <row r="273" ht="22" hidden="1" customHeight="1" outlineLevel="2" spans="1:13">
      <c r="A273" s="281" t="s">
        <v>492</v>
      </c>
      <c r="B273" s="282">
        <v>41</v>
      </c>
      <c r="C273" s="282">
        <v>41</v>
      </c>
      <c r="D273" s="282"/>
      <c r="E273" s="282"/>
      <c r="F273" s="282"/>
      <c r="G273" s="276"/>
      <c r="H273" s="280"/>
      <c r="J273" s="290"/>
      <c r="K273" s="290"/>
      <c r="L273" s="298"/>
      <c r="M273" s="298"/>
    </row>
    <row r="274" ht="22" hidden="1" customHeight="1" outlineLevel="2" spans="1:13">
      <c r="A274" s="281" t="s">
        <v>493</v>
      </c>
      <c r="B274" s="282">
        <v>27</v>
      </c>
      <c r="C274" s="282">
        <v>27</v>
      </c>
      <c r="D274" s="282"/>
      <c r="E274" s="282"/>
      <c r="F274" s="282"/>
      <c r="G274" s="276"/>
      <c r="H274" s="280"/>
      <c r="J274" s="290"/>
      <c r="K274" s="290"/>
      <c r="L274" s="298"/>
      <c r="M274" s="298"/>
    </row>
    <row r="275" ht="22" hidden="1" customHeight="1" outlineLevel="2" spans="1:13">
      <c r="A275" s="281" t="s">
        <v>494</v>
      </c>
      <c r="B275" s="282">
        <v>17</v>
      </c>
      <c r="C275" s="282">
        <v>17</v>
      </c>
      <c r="D275" s="282"/>
      <c r="E275" s="282"/>
      <c r="F275" s="282"/>
      <c r="G275" s="276"/>
      <c r="H275" s="280"/>
      <c r="J275" s="290"/>
      <c r="K275" s="290"/>
      <c r="L275" s="298"/>
      <c r="M275" s="298"/>
    </row>
    <row r="276" ht="22" hidden="1" customHeight="1" outlineLevel="2" spans="1:13">
      <c r="A276" s="281" t="s">
        <v>495</v>
      </c>
      <c r="B276" s="282">
        <v>10</v>
      </c>
      <c r="C276" s="282">
        <v>10</v>
      </c>
      <c r="D276" s="282"/>
      <c r="E276" s="282"/>
      <c r="F276" s="282">
        <f>D276</f>
        <v>0</v>
      </c>
      <c r="G276" s="276"/>
      <c r="H276" s="280"/>
      <c r="J276" s="290"/>
      <c r="K276" s="290"/>
      <c r="L276" s="298"/>
      <c r="M276" s="298"/>
    </row>
    <row r="277" ht="22" customHeight="1" outlineLevel="1" collapsed="1" spans="1:13">
      <c r="A277" s="281" t="s">
        <v>496</v>
      </c>
      <c r="B277" s="282">
        <f t="shared" ref="B277:F277" si="30">SUM(B278)</f>
        <v>5</v>
      </c>
      <c r="C277" s="282">
        <f t="shared" si="30"/>
        <v>5</v>
      </c>
      <c r="D277" s="282">
        <f t="shared" si="30"/>
        <v>0</v>
      </c>
      <c r="E277" s="282">
        <f t="shared" si="30"/>
        <v>0</v>
      </c>
      <c r="F277" s="282">
        <f t="shared" si="30"/>
        <v>0</v>
      </c>
      <c r="G277" s="276"/>
      <c r="H277" s="280"/>
      <c r="J277" s="290"/>
      <c r="K277" s="290"/>
      <c r="L277" s="298"/>
      <c r="M277" s="298"/>
    </row>
    <row r="278" ht="22" hidden="1" customHeight="1" outlineLevel="2" spans="1:13">
      <c r="A278" s="276" t="s">
        <v>497</v>
      </c>
      <c r="B278" s="276">
        <v>5</v>
      </c>
      <c r="C278" s="276">
        <v>5</v>
      </c>
      <c r="D278" s="282"/>
      <c r="E278" s="282"/>
      <c r="F278" s="282"/>
      <c r="G278" s="276"/>
      <c r="H278" s="280"/>
      <c r="J278" s="290"/>
      <c r="K278" s="290"/>
      <c r="L278" s="298"/>
      <c r="M278" s="298"/>
    </row>
    <row r="279" ht="22" customHeight="1" outlineLevel="1" spans="1:13">
      <c r="A279" s="281" t="s">
        <v>498</v>
      </c>
      <c r="B279" s="282"/>
      <c r="C279" s="282"/>
      <c r="D279" s="282"/>
      <c r="E279" s="282"/>
      <c r="F279" s="282">
        <f>D279</f>
        <v>0</v>
      </c>
      <c r="G279" s="276"/>
      <c r="H279" s="280"/>
      <c r="J279" s="290"/>
      <c r="K279" s="290"/>
      <c r="L279" s="298"/>
      <c r="M279" s="298"/>
    </row>
    <row r="280" ht="22" customHeight="1" outlineLevel="1" collapsed="1" spans="1:13">
      <c r="A280" s="281" t="s">
        <v>499</v>
      </c>
      <c r="B280" s="282">
        <f t="shared" ref="B280:F280" si="31">SUM(B281)</f>
        <v>250</v>
      </c>
      <c r="C280" s="282">
        <f t="shared" si="31"/>
        <v>250</v>
      </c>
      <c r="D280" s="282">
        <f t="shared" si="31"/>
        <v>0</v>
      </c>
      <c r="E280" s="282">
        <f t="shared" si="31"/>
        <v>0</v>
      </c>
      <c r="F280" s="282">
        <f t="shared" si="31"/>
        <v>0</v>
      </c>
      <c r="G280" s="276"/>
      <c r="H280" s="280"/>
      <c r="J280" s="290"/>
      <c r="K280" s="290"/>
      <c r="L280" s="298"/>
      <c r="M280" s="298"/>
    </row>
    <row r="281" ht="22" hidden="1" customHeight="1" outlineLevel="2" spans="1:13">
      <c r="A281" s="281" t="s">
        <v>500</v>
      </c>
      <c r="B281" s="282">
        <v>250</v>
      </c>
      <c r="C281" s="282">
        <v>250</v>
      </c>
      <c r="D281" s="282"/>
      <c r="E281" s="282"/>
      <c r="F281" s="282"/>
      <c r="G281" s="276"/>
      <c r="H281" s="280"/>
      <c r="J281" s="290"/>
      <c r="K281" s="290"/>
      <c r="L281" s="298"/>
      <c r="M281" s="298"/>
    </row>
    <row r="282" ht="22" customHeight="1" outlineLevel="1" collapsed="1" spans="1:13">
      <c r="A282" s="281" t="s">
        <v>501</v>
      </c>
      <c r="B282" s="282">
        <f t="shared" ref="B282:F282" si="32">SUM(B283)</f>
        <v>75</v>
      </c>
      <c r="C282" s="282">
        <f t="shared" si="32"/>
        <v>75</v>
      </c>
      <c r="D282" s="282">
        <f t="shared" si="32"/>
        <v>0</v>
      </c>
      <c r="E282" s="282">
        <f t="shared" si="32"/>
        <v>0</v>
      </c>
      <c r="F282" s="282">
        <f t="shared" si="32"/>
        <v>0</v>
      </c>
      <c r="G282" s="276"/>
      <c r="H282" s="280"/>
      <c r="J282" s="290"/>
      <c r="K282" s="290"/>
      <c r="L282" s="298"/>
      <c r="M282" s="298"/>
    </row>
    <row r="283" ht="22" hidden="1" customHeight="1" outlineLevel="2" spans="1:13">
      <c r="A283" s="281" t="s">
        <v>502</v>
      </c>
      <c r="B283" s="282">
        <v>75</v>
      </c>
      <c r="C283" s="282">
        <v>75</v>
      </c>
      <c r="D283" s="282"/>
      <c r="E283" s="282"/>
      <c r="F283" s="282"/>
      <c r="G283" s="276"/>
      <c r="H283" s="280"/>
      <c r="J283" s="290"/>
      <c r="K283" s="290"/>
      <c r="L283" s="298"/>
      <c r="M283" s="298"/>
    </row>
    <row r="284" ht="22" customHeight="1" outlineLevel="1" collapsed="1" spans="1:13">
      <c r="A284" s="281" t="s">
        <v>503</v>
      </c>
      <c r="B284" s="282">
        <f t="shared" ref="B284:F284" si="33">SUM(B285:B288)</f>
        <v>97</v>
      </c>
      <c r="C284" s="282">
        <f t="shared" si="33"/>
        <v>97</v>
      </c>
      <c r="D284" s="282">
        <f t="shared" si="33"/>
        <v>0</v>
      </c>
      <c r="E284" s="282">
        <f t="shared" si="33"/>
        <v>0</v>
      </c>
      <c r="F284" s="282">
        <f t="shared" si="33"/>
        <v>0</v>
      </c>
      <c r="G284" s="276"/>
      <c r="H284" s="280"/>
      <c r="J284" s="290"/>
      <c r="K284" s="290"/>
      <c r="L284" s="298"/>
      <c r="M284" s="298"/>
    </row>
    <row r="285" ht="22" hidden="1" customHeight="1" outlineLevel="2" spans="1:13">
      <c r="A285" s="281" t="s">
        <v>504</v>
      </c>
      <c r="B285" s="282">
        <v>48</v>
      </c>
      <c r="C285" s="282">
        <v>48</v>
      </c>
      <c r="D285" s="282"/>
      <c r="E285" s="282"/>
      <c r="F285" s="282"/>
      <c r="G285" s="276"/>
      <c r="H285" s="280"/>
      <c r="J285" s="290"/>
      <c r="K285" s="290"/>
      <c r="L285" s="298"/>
      <c r="M285" s="298"/>
    </row>
    <row r="286" ht="22" hidden="1" customHeight="1" outlineLevel="2" spans="1:13">
      <c r="A286" s="281" t="s">
        <v>505</v>
      </c>
      <c r="B286" s="282">
        <v>40</v>
      </c>
      <c r="C286" s="282">
        <v>40</v>
      </c>
      <c r="D286" s="282"/>
      <c r="E286" s="282"/>
      <c r="F286" s="282"/>
      <c r="G286" s="276"/>
      <c r="H286" s="280"/>
      <c r="J286" s="290"/>
      <c r="K286" s="290"/>
      <c r="L286" s="298"/>
      <c r="M286" s="298"/>
    </row>
    <row r="287" ht="22" hidden="1" customHeight="1" outlineLevel="2" spans="1:13">
      <c r="A287" s="281" t="s">
        <v>506</v>
      </c>
      <c r="B287" s="282">
        <v>8</v>
      </c>
      <c r="C287" s="282">
        <v>8</v>
      </c>
      <c r="D287" s="282"/>
      <c r="E287" s="282"/>
      <c r="F287" s="282"/>
      <c r="G287" s="276"/>
      <c r="H287" s="280"/>
      <c r="J287" s="290"/>
      <c r="K287" s="290"/>
      <c r="L287" s="298"/>
      <c r="M287" s="298"/>
    </row>
    <row r="288" ht="22" hidden="1" customHeight="1" outlineLevel="2" spans="1:13">
      <c r="A288" s="281" t="s">
        <v>507</v>
      </c>
      <c r="B288" s="282">
        <v>1</v>
      </c>
      <c r="C288" s="282">
        <v>1</v>
      </c>
      <c r="D288" s="282"/>
      <c r="E288" s="282"/>
      <c r="F288" s="282"/>
      <c r="G288" s="276"/>
      <c r="H288" s="280"/>
      <c r="J288" s="290"/>
      <c r="K288" s="290"/>
      <c r="L288" s="298"/>
      <c r="M288" s="298"/>
    </row>
    <row r="289" ht="22" customHeight="1" outlineLevel="1" collapsed="1" spans="1:13">
      <c r="A289" s="281" t="s">
        <v>508</v>
      </c>
      <c r="B289" s="282">
        <f t="shared" ref="B289:F289" si="34">SUM(B290:B294)</f>
        <v>766</v>
      </c>
      <c r="C289" s="282">
        <f t="shared" si="34"/>
        <v>766</v>
      </c>
      <c r="D289" s="282">
        <f t="shared" si="34"/>
        <v>444</v>
      </c>
      <c r="E289" s="282">
        <f t="shared" si="34"/>
        <v>0</v>
      </c>
      <c r="F289" s="282">
        <f t="shared" si="34"/>
        <v>444</v>
      </c>
      <c r="G289" s="276"/>
      <c r="H289" s="280"/>
      <c r="J289" s="290"/>
      <c r="K289" s="290"/>
      <c r="L289" s="298"/>
      <c r="M289" s="298"/>
    </row>
    <row r="290" ht="22" hidden="1" customHeight="1" outlineLevel="2" spans="1:13">
      <c r="A290" s="281" t="s">
        <v>509</v>
      </c>
      <c r="B290" s="282">
        <v>55</v>
      </c>
      <c r="C290" s="282">
        <v>55</v>
      </c>
      <c r="D290" s="282"/>
      <c r="E290" s="282"/>
      <c r="F290" s="282"/>
      <c r="G290" s="276"/>
      <c r="H290" s="280"/>
      <c r="J290" s="290"/>
      <c r="K290" s="290"/>
      <c r="L290" s="298"/>
      <c r="M290" s="298"/>
    </row>
    <row r="291" ht="22" hidden="1" customHeight="1" outlineLevel="2" spans="1:13">
      <c r="A291" s="281" t="s">
        <v>510</v>
      </c>
      <c r="B291" s="282">
        <v>6</v>
      </c>
      <c r="C291" s="282">
        <v>6</v>
      </c>
      <c r="D291" s="282"/>
      <c r="E291" s="282"/>
      <c r="F291" s="282"/>
      <c r="G291" s="276"/>
      <c r="H291" s="280"/>
      <c r="J291" s="290"/>
      <c r="K291" s="290"/>
      <c r="L291" s="298"/>
      <c r="M291" s="298"/>
    </row>
    <row r="292" ht="22" hidden="1" customHeight="1" outlineLevel="2" spans="1:13">
      <c r="A292" s="281" t="s">
        <v>511</v>
      </c>
      <c r="B292" s="282">
        <v>491</v>
      </c>
      <c r="C292" s="282">
        <v>491</v>
      </c>
      <c r="D292" s="282">
        <v>444</v>
      </c>
      <c r="E292" s="282"/>
      <c r="F292" s="282">
        <f t="shared" ref="F292:F298" si="35">D292</f>
        <v>444</v>
      </c>
      <c r="G292" s="276"/>
      <c r="H292" s="280" t="s">
        <v>512</v>
      </c>
      <c r="I292" s="268" t="s">
        <v>513</v>
      </c>
      <c r="J292" s="290"/>
      <c r="K292" s="290">
        <v>444</v>
      </c>
      <c r="L292" s="298">
        <v>210</v>
      </c>
      <c r="M292" s="304">
        <v>2100409</v>
      </c>
    </row>
    <row r="293" ht="22" hidden="1" customHeight="1" outlineLevel="2" spans="1:13">
      <c r="A293" s="281" t="s">
        <v>514</v>
      </c>
      <c r="B293" s="282">
        <v>132</v>
      </c>
      <c r="C293" s="282">
        <v>132</v>
      </c>
      <c r="D293" s="282"/>
      <c r="E293" s="282"/>
      <c r="F293" s="282"/>
      <c r="G293" s="276"/>
      <c r="H293" s="280"/>
      <c r="J293" s="290"/>
      <c r="K293" s="290"/>
      <c r="L293" s="298"/>
      <c r="M293" s="298"/>
    </row>
    <row r="294" ht="22" hidden="1" customHeight="1" outlineLevel="2" spans="1:13">
      <c r="A294" s="281" t="s">
        <v>515</v>
      </c>
      <c r="B294" s="282">
        <v>82</v>
      </c>
      <c r="C294" s="282">
        <v>82</v>
      </c>
      <c r="D294" s="282"/>
      <c r="E294" s="282"/>
      <c r="F294" s="282"/>
      <c r="G294" s="276"/>
      <c r="H294" s="280"/>
      <c r="J294" s="290"/>
      <c r="K294" s="290"/>
      <c r="L294" s="298"/>
      <c r="M294" s="298"/>
    </row>
    <row r="295" ht="22" customHeight="1" outlineLevel="1" collapsed="1" spans="1:13">
      <c r="A295" s="281" t="s">
        <v>516</v>
      </c>
      <c r="B295" s="282">
        <f t="shared" ref="B295:F295" si="36">SUM(B296:B297)</f>
        <v>8399</v>
      </c>
      <c r="C295" s="282">
        <f t="shared" si="36"/>
        <v>8399</v>
      </c>
      <c r="D295" s="282">
        <f t="shared" si="36"/>
        <v>3614</v>
      </c>
      <c r="E295" s="282">
        <f t="shared" si="36"/>
        <v>0</v>
      </c>
      <c r="F295" s="282">
        <f t="shared" si="36"/>
        <v>3614</v>
      </c>
      <c r="G295" s="276"/>
      <c r="H295" s="280"/>
      <c r="J295" s="290"/>
      <c r="L295" s="298"/>
      <c r="M295" s="298"/>
    </row>
    <row r="296" ht="22" hidden="1" customHeight="1" outlineLevel="2" spans="1:13">
      <c r="A296" s="281" t="s">
        <v>517</v>
      </c>
      <c r="B296" s="282">
        <v>2419</v>
      </c>
      <c r="C296" s="282">
        <v>2419</v>
      </c>
      <c r="D296" s="282">
        <v>3086</v>
      </c>
      <c r="E296" s="282"/>
      <c r="F296" s="282">
        <f t="shared" si="35"/>
        <v>3086</v>
      </c>
      <c r="G296" s="276"/>
      <c r="H296" s="280" t="s">
        <v>518</v>
      </c>
      <c r="I296" s="268" t="s">
        <v>513</v>
      </c>
      <c r="J296" s="290"/>
      <c r="K296" s="290">
        <v>3086</v>
      </c>
      <c r="L296" s="298">
        <v>21103</v>
      </c>
      <c r="M296" s="298" t="s">
        <v>519</v>
      </c>
    </row>
    <row r="297" ht="22" hidden="1" customHeight="1" outlineLevel="2" spans="1:13">
      <c r="A297" s="281" t="s">
        <v>520</v>
      </c>
      <c r="B297" s="282">
        <v>5980</v>
      </c>
      <c r="C297" s="282">
        <v>5980</v>
      </c>
      <c r="D297" s="282">
        <v>528</v>
      </c>
      <c r="E297" s="282"/>
      <c r="F297" s="282">
        <f t="shared" si="35"/>
        <v>528</v>
      </c>
      <c r="G297" s="276"/>
      <c r="H297" s="280" t="s">
        <v>521</v>
      </c>
      <c r="I297" s="268" t="s">
        <v>513</v>
      </c>
      <c r="J297" s="290"/>
      <c r="K297" s="290">
        <v>528</v>
      </c>
      <c r="L297" s="298">
        <v>21103</v>
      </c>
      <c r="M297" s="304">
        <v>2110301</v>
      </c>
    </row>
    <row r="298" ht="22" customHeight="1" outlineLevel="1" spans="1:13">
      <c r="A298" s="281" t="s">
        <v>522</v>
      </c>
      <c r="B298" s="282"/>
      <c r="C298" s="282"/>
      <c r="D298" s="282"/>
      <c r="E298" s="282"/>
      <c r="F298" s="282">
        <f t="shared" si="35"/>
        <v>0</v>
      </c>
      <c r="G298" s="276"/>
      <c r="J298" s="290"/>
      <c r="K298" s="290"/>
      <c r="L298" s="290"/>
      <c r="M298" s="291"/>
    </row>
    <row r="299" ht="22" customHeight="1" outlineLevel="1" collapsed="1" spans="1:13">
      <c r="A299" s="281" t="s">
        <v>523</v>
      </c>
      <c r="B299" s="282">
        <f t="shared" ref="B299:F299" si="37">SUM(B300:B308)</f>
        <v>4921</v>
      </c>
      <c r="C299" s="282">
        <f t="shared" si="37"/>
        <v>4921</v>
      </c>
      <c r="D299" s="282">
        <f t="shared" si="37"/>
        <v>0</v>
      </c>
      <c r="E299" s="282">
        <f t="shared" si="37"/>
        <v>0</v>
      </c>
      <c r="F299" s="282">
        <f t="shared" si="37"/>
        <v>0</v>
      </c>
      <c r="G299" s="276"/>
      <c r="J299" s="290"/>
      <c r="K299" s="290"/>
      <c r="L299" s="290"/>
      <c r="M299" s="291"/>
    </row>
    <row r="300" ht="22" hidden="1" customHeight="1" outlineLevel="2" spans="1:13">
      <c r="A300" s="281" t="s">
        <v>524</v>
      </c>
      <c r="B300" s="276">
        <v>229</v>
      </c>
      <c r="C300" s="276">
        <v>229</v>
      </c>
      <c r="D300" s="282"/>
      <c r="E300" s="282"/>
      <c r="F300" s="282">
        <f>D300</f>
        <v>0</v>
      </c>
      <c r="G300" s="276"/>
      <c r="H300" s="303"/>
      <c r="I300" s="300" t="s">
        <v>513</v>
      </c>
      <c r="J300" s="290"/>
      <c r="K300" s="290"/>
      <c r="L300" s="290"/>
      <c r="M300" s="291">
        <v>2130804</v>
      </c>
    </row>
    <row r="301" ht="22" hidden="1" customHeight="1" outlineLevel="2" spans="1:13">
      <c r="A301" s="281" t="s">
        <v>525</v>
      </c>
      <c r="B301" s="282">
        <v>32</v>
      </c>
      <c r="C301" s="282">
        <v>32</v>
      </c>
      <c r="D301" s="282"/>
      <c r="E301" s="282"/>
      <c r="F301" s="282"/>
      <c r="G301" s="276"/>
      <c r="H301" s="303"/>
      <c r="I301" s="300"/>
      <c r="J301" s="290"/>
      <c r="K301" s="290"/>
      <c r="L301" s="290"/>
      <c r="M301" s="291"/>
    </row>
    <row r="302" ht="22" hidden="1" customHeight="1" outlineLevel="2" spans="1:13">
      <c r="A302" s="281" t="s">
        <v>526</v>
      </c>
      <c r="B302" s="282">
        <v>2000</v>
      </c>
      <c r="C302" s="282">
        <v>2000</v>
      </c>
      <c r="D302" s="282"/>
      <c r="E302" s="282"/>
      <c r="F302" s="282"/>
      <c r="G302" s="276"/>
      <c r="H302" s="303"/>
      <c r="I302" s="300"/>
      <c r="J302" s="290"/>
      <c r="K302" s="290"/>
      <c r="L302" s="290"/>
      <c r="M302" s="291"/>
    </row>
    <row r="303" ht="22" hidden="1" customHeight="1" outlineLevel="2" spans="1:13">
      <c r="A303" s="281" t="s">
        <v>527</v>
      </c>
      <c r="B303" s="282">
        <v>153</v>
      </c>
      <c r="C303" s="282">
        <v>153</v>
      </c>
      <c r="D303" s="282"/>
      <c r="E303" s="282"/>
      <c r="F303" s="282"/>
      <c r="G303" s="276"/>
      <c r="H303" s="303"/>
      <c r="I303" s="300"/>
      <c r="J303" s="290"/>
      <c r="K303" s="290"/>
      <c r="L303" s="290"/>
      <c r="M303" s="291"/>
    </row>
    <row r="304" ht="22" hidden="1" customHeight="1" outlineLevel="2" spans="1:13">
      <c r="A304" s="281" t="s">
        <v>528</v>
      </c>
      <c r="B304" s="282">
        <v>547</v>
      </c>
      <c r="C304" s="282">
        <v>547</v>
      </c>
      <c r="D304" s="282"/>
      <c r="E304" s="282"/>
      <c r="F304" s="282"/>
      <c r="G304" s="276"/>
      <c r="H304" s="303"/>
      <c r="I304" s="300"/>
      <c r="J304" s="290"/>
      <c r="K304" s="290"/>
      <c r="L304" s="290"/>
      <c r="M304" s="291"/>
    </row>
    <row r="305" ht="22" hidden="1" customHeight="1" outlineLevel="2" spans="1:13">
      <c r="A305" s="281" t="s">
        <v>529</v>
      </c>
      <c r="B305" s="282">
        <v>493</v>
      </c>
      <c r="C305" s="282">
        <v>493</v>
      </c>
      <c r="D305" s="282"/>
      <c r="E305" s="282"/>
      <c r="F305" s="282"/>
      <c r="G305" s="276"/>
      <c r="H305" s="303"/>
      <c r="I305" s="300"/>
      <c r="J305" s="290"/>
      <c r="K305" s="290"/>
      <c r="L305" s="290"/>
      <c r="M305" s="291"/>
    </row>
    <row r="306" ht="22" hidden="1" customHeight="1" outlineLevel="2" spans="1:13">
      <c r="A306" s="281" t="s">
        <v>530</v>
      </c>
      <c r="B306" s="282">
        <v>900</v>
      </c>
      <c r="C306" s="282">
        <v>900</v>
      </c>
      <c r="D306" s="282"/>
      <c r="E306" s="282"/>
      <c r="F306" s="282"/>
      <c r="G306" s="276"/>
      <c r="H306" s="303"/>
      <c r="I306" s="300"/>
      <c r="J306" s="290"/>
      <c r="K306" s="290"/>
      <c r="L306" s="290"/>
      <c r="M306" s="291"/>
    </row>
    <row r="307" ht="22" hidden="1" customHeight="1" outlineLevel="2" spans="1:13">
      <c r="A307" s="281" t="s">
        <v>531</v>
      </c>
      <c r="B307" s="282">
        <v>550</v>
      </c>
      <c r="C307" s="282">
        <v>550</v>
      </c>
      <c r="D307" s="282"/>
      <c r="E307" s="282"/>
      <c r="F307" s="282"/>
      <c r="G307" s="276"/>
      <c r="H307" s="303"/>
      <c r="I307" s="300"/>
      <c r="J307" s="290"/>
      <c r="K307" s="290"/>
      <c r="L307" s="290"/>
      <c r="M307" s="291"/>
    </row>
    <row r="308" ht="22" hidden="1" customHeight="1" outlineLevel="2" spans="1:13">
      <c r="A308" s="281" t="s">
        <v>532</v>
      </c>
      <c r="B308" s="282">
        <v>17</v>
      </c>
      <c r="C308" s="282">
        <v>17</v>
      </c>
      <c r="D308" s="282"/>
      <c r="E308" s="282"/>
      <c r="F308" s="282"/>
      <c r="G308" s="276"/>
      <c r="H308" s="303"/>
      <c r="I308" s="300"/>
      <c r="J308" s="290"/>
      <c r="K308" s="290"/>
      <c r="L308" s="290"/>
      <c r="M308" s="291"/>
    </row>
    <row r="309" ht="22" customHeight="1" outlineLevel="1" spans="1:13">
      <c r="A309" s="281" t="s">
        <v>533</v>
      </c>
      <c r="B309" s="282"/>
      <c r="C309" s="282"/>
      <c r="D309" s="282"/>
      <c r="E309" s="282"/>
      <c r="F309" s="282">
        <f>D309</f>
        <v>0</v>
      </c>
      <c r="G309" s="276"/>
      <c r="J309" s="290"/>
      <c r="K309" s="290"/>
      <c r="L309" s="290"/>
      <c r="M309" s="291"/>
    </row>
    <row r="310" ht="22" customHeight="1" outlineLevel="1" collapsed="1" spans="1:13">
      <c r="A310" s="281" t="s">
        <v>534</v>
      </c>
      <c r="B310" s="282">
        <f t="shared" ref="B310:F310" si="38">SUM(B311:B312)</f>
        <v>1335</v>
      </c>
      <c r="C310" s="282">
        <f t="shared" si="38"/>
        <v>1335</v>
      </c>
      <c r="D310" s="282">
        <f t="shared" si="38"/>
        <v>0</v>
      </c>
      <c r="E310" s="282">
        <f t="shared" si="38"/>
        <v>0</v>
      </c>
      <c r="F310" s="282">
        <f t="shared" si="38"/>
        <v>0</v>
      </c>
      <c r="G310" s="276"/>
      <c r="J310" s="290"/>
      <c r="K310" s="290"/>
      <c r="L310" s="290"/>
      <c r="M310" s="291"/>
    </row>
    <row r="311" ht="22" hidden="1" customHeight="1" outlineLevel="2" spans="1:13">
      <c r="A311" s="281" t="s">
        <v>535</v>
      </c>
      <c r="B311" s="282">
        <v>100</v>
      </c>
      <c r="C311" s="282">
        <v>100</v>
      </c>
      <c r="D311" s="282"/>
      <c r="E311" s="282"/>
      <c r="F311" s="282"/>
      <c r="G311" s="276"/>
      <c r="J311" s="290"/>
      <c r="K311" s="290"/>
      <c r="L311" s="290"/>
      <c r="M311" s="291"/>
    </row>
    <row r="312" ht="22" hidden="1" customHeight="1" outlineLevel="2" spans="1:13">
      <c r="A312" s="281" t="s">
        <v>536</v>
      </c>
      <c r="B312" s="282">
        <v>1235</v>
      </c>
      <c r="C312" s="282">
        <v>1235</v>
      </c>
      <c r="D312" s="282"/>
      <c r="E312" s="282"/>
      <c r="F312" s="282"/>
      <c r="G312" s="276"/>
      <c r="J312" s="290"/>
      <c r="K312" s="290"/>
      <c r="L312" s="290"/>
      <c r="M312" s="291"/>
    </row>
    <row r="313" ht="22" customHeight="1" outlineLevel="1" spans="1:13">
      <c r="A313" s="281" t="s">
        <v>537</v>
      </c>
      <c r="B313" s="282"/>
      <c r="C313" s="282"/>
      <c r="D313" s="282"/>
      <c r="E313" s="282"/>
      <c r="F313" s="282">
        <f>D313</f>
        <v>0</v>
      </c>
      <c r="G313" s="276"/>
      <c r="J313" s="290"/>
      <c r="K313" s="290"/>
      <c r="L313" s="290"/>
      <c r="M313" s="291"/>
    </row>
    <row r="314" ht="22" customHeight="1" outlineLevel="1" collapsed="1" spans="1:13">
      <c r="A314" s="281" t="s">
        <v>538</v>
      </c>
      <c r="B314" s="282">
        <f t="shared" ref="B314:F314" si="39">SUM(B315)</f>
        <v>117</v>
      </c>
      <c r="C314" s="282">
        <f t="shared" si="39"/>
        <v>117</v>
      </c>
      <c r="D314" s="282">
        <f t="shared" si="39"/>
        <v>0</v>
      </c>
      <c r="E314" s="282">
        <f t="shared" si="39"/>
        <v>0</v>
      </c>
      <c r="F314" s="282">
        <f t="shared" si="39"/>
        <v>0</v>
      </c>
      <c r="G314" s="276"/>
      <c r="J314" s="290"/>
      <c r="K314" s="290"/>
      <c r="L314" s="290"/>
      <c r="M314" s="291"/>
    </row>
    <row r="315" ht="22" hidden="1" customHeight="1" outlineLevel="2" spans="1:13">
      <c r="A315" s="281" t="s">
        <v>539</v>
      </c>
      <c r="B315" s="282">
        <v>117</v>
      </c>
      <c r="C315" s="282">
        <v>117</v>
      </c>
      <c r="D315" s="282"/>
      <c r="E315" s="282"/>
      <c r="F315" s="282">
        <f>D315</f>
        <v>0</v>
      </c>
      <c r="G315" s="276"/>
      <c r="H315" s="303"/>
      <c r="I315" s="300" t="s">
        <v>513</v>
      </c>
      <c r="J315" s="290"/>
      <c r="K315" s="290"/>
      <c r="L315" s="290"/>
      <c r="M315" s="291" t="s">
        <v>540</v>
      </c>
    </row>
    <row r="316" ht="22" customHeight="1" outlineLevel="1" collapsed="1" spans="1:13">
      <c r="A316" s="281" t="s">
        <v>541</v>
      </c>
      <c r="B316" s="282">
        <f t="shared" ref="B316:F316" si="40">SUM(B317:B318)</f>
        <v>9920</v>
      </c>
      <c r="C316" s="282">
        <f t="shared" si="40"/>
        <v>9920</v>
      </c>
      <c r="D316" s="282">
        <f t="shared" si="40"/>
        <v>0</v>
      </c>
      <c r="E316" s="282">
        <f t="shared" si="40"/>
        <v>0</v>
      </c>
      <c r="F316" s="282">
        <f t="shared" si="40"/>
        <v>0</v>
      </c>
      <c r="G316" s="276"/>
      <c r="J316" s="290"/>
      <c r="K316" s="290"/>
      <c r="L316" s="290"/>
      <c r="M316" s="291"/>
    </row>
    <row r="317" ht="22" hidden="1" customHeight="1" outlineLevel="2" spans="1:13">
      <c r="A317" s="276" t="s">
        <v>542</v>
      </c>
      <c r="B317" s="276">
        <v>8529</v>
      </c>
      <c r="C317" s="276">
        <v>8529</v>
      </c>
      <c r="D317" s="282"/>
      <c r="E317" s="282"/>
      <c r="F317" s="282"/>
      <c r="G317" s="276"/>
      <c r="J317" s="290"/>
      <c r="K317" s="290"/>
      <c r="L317" s="290"/>
      <c r="M317" s="291"/>
    </row>
    <row r="318" ht="22" hidden="1" customHeight="1" outlineLevel="2" spans="1:13">
      <c r="A318" s="276" t="s">
        <v>543</v>
      </c>
      <c r="B318" s="276">
        <v>1391</v>
      </c>
      <c r="C318" s="276">
        <v>1391</v>
      </c>
      <c r="D318" s="282"/>
      <c r="E318" s="282"/>
      <c r="F318" s="282"/>
      <c r="G318" s="276"/>
      <c r="J318" s="290"/>
      <c r="K318" s="290"/>
      <c r="L318" s="290"/>
      <c r="M318" s="291"/>
    </row>
    <row r="319" ht="22" customHeight="1" outlineLevel="1" spans="1:13">
      <c r="A319" s="281" t="s">
        <v>544</v>
      </c>
      <c r="B319" s="282"/>
      <c r="C319" s="282"/>
      <c r="D319" s="282"/>
      <c r="E319" s="282"/>
      <c r="F319" s="282">
        <f t="shared" ref="F319:F324" si="41">D319</f>
        <v>0</v>
      </c>
      <c r="G319" s="276"/>
      <c r="J319" s="290"/>
      <c r="K319" s="290"/>
      <c r="L319" s="290"/>
      <c r="M319" s="291"/>
    </row>
    <row r="320" ht="22" customHeight="1" outlineLevel="1" collapsed="1" spans="1:13">
      <c r="A320" s="281" t="s">
        <v>545</v>
      </c>
      <c r="B320" s="282">
        <f t="shared" ref="B320:F320" si="42">SUM(B321:B323)</f>
        <v>629</v>
      </c>
      <c r="C320" s="282">
        <f t="shared" si="42"/>
        <v>629</v>
      </c>
      <c r="D320" s="282">
        <f t="shared" si="42"/>
        <v>0</v>
      </c>
      <c r="E320" s="282">
        <f t="shared" si="42"/>
        <v>0</v>
      </c>
      <c r="F320" s="282">
        <f t="shared" si="42"/>
        <v>0</v>
      </c>
      <c r="G320" s="276"/>
      <c r="J320" s="290"/>
      <c r="K320" s="290"/>
      <c r="L320" s="290"/>
      <c r="M320" s="291"/>
    </row>
    <row r="321" ht="22" hidden="1" customHeight="1" outlineLevel="2" spans="1:13">
      <c r="A321" s="281" t="s">
        <v>546</v>
      </c>
      <c r="B321" s="276">
        <v>580</v>
      </c>
      <c r="C321" s="276">
        <v>580</v>
      </c>
      <c r="D321" s="282"/>
      <c r="E321" s="282"/>
      <c r="F321" s="282"/>
      <c r="G321" s="276"/>
      <c r="J321" s="290"/>
      <c r="K321" s="290"/>
      <c r="L321" s="290"/>
      <c r="M321" s="291"/>
    </row>
    <row r="322" ht="22" hidden="1" customHeight="1" outlineLevel="2" spans="1:13">
      <c r="A322" s="281" t="s">
        <v>547</v>
      </c>
      <c r="B322" s="276">
        <v>3</v>
      </c>
      <c r="C322" s="276">
        <v>3</v>
      </c>
      <c r="D322" s="282"/>
      <c r="E322" s="282"/>
      <c r="F322" s="282">
        <f t="shared" si="41"/>
        <v>0</v>
      </c>
      <c r="G322" s="276"/>
      <c r="H322" s="303"/>
      <c r="I322" s="300" t="s">
        <v>513</v>
      </c>
      <c r="J322" s="290"/>
      <c r="K322" s="290"/>
      <c r="L322" s="290"/>
      <c r="M322" s="291" t="s">
        <v>548</v>
      </c>
    </row>
    <row r="323" ht="22" hidden="1" customHeight="1" outlineLevel="2" spans="1:13">
      <c r="A323" s="281" t="s">
        <v>549</v>
      </c>
      <c r="B323" s="276">
        <v>46</v>
      </c>
      <c r="C323" s="276">
        <v>46</v>
      </c>
      <c r="D323" s="282"/>
      <c r="E323" s="282"/>
      <c r="F323" s="282"/>
      <c r="G323" s="276"/>
      <c r="H323" s="303"/>
      <c r="I323" s="300"/>
      <c r="J323" s="290"/>
      <c r="K323" s="290"/>
      <c r="L323" s="290"/>
      <c r="M323" s="291"/>
    </row>
    <row r="324" ht="22" customHeight="1" outlineLevel="1" collapsed="1" spans="1:13">
      <c r="A324" s="281" t="s">
        <v>550</v>
      </c>
      <c r="B324" s="282">
        <f>SUM(B325)</f>
        <v>2698</v>
      </c>
      <c r="C324" s="282">
        <f>SUM(C325)</f>
        <v>2698</v>
      </c>
      <c r="D324" s="282"/>
      <c r="E324" s="282"/>
      <c r="F324" s="282">
        <f t="shared" si="41"/>
        <v>0</v>
      </c>
      <c r="G324" s="276"/>
      <c r="J324" s="290"/>
      <c r="K324" s="290"/>
      <c r="L324" s="290"/>
      <c r="M324" s="291"/>
    </row>
    <row r="325" ht="20.1" hidden="1" customHeight="1" outlineLevel="2" spans="1:13">
      <c r="A325" s="305" t="s">
        <v>551</v>
      </c>
      <c r="B325" s="305">
        <v>2698</v>
      </c>
      <c r="C325" s="305">
        <v>2698</v>
      </c>
      <c r="D325" s="282"/>
      <c r="E325" s="282"/>
      <c r="F325" s="282"/>
      <c r="G325" s="306"/>
      <c r="J325" s="290"/>
      <c r="K325" s="290"/>
      <c r="L325" s="290"/>
      <c r="M325" s="291"/>
    </row>
    <row r="326" spans="2:6">
      <c r="B326" s="307"/>
      <c r="C326" s="307"/>
      <c r="D326" s="307"/>
      <c r="E326" s="307"/>
      <c r="F326" s="307"/>
    </row>
  </sheetData>
  <sheetProtection password="C70D" sheet="1" objects="1"/>
  <autoFilter ref="A4:M325">
    <extLst/>
  </autoFilter>
  <mergeCells count="1">
    <mergeCell ref="A2:G2"/>
  </mergeCells>
  <printOptions horizontalCentered="1"/>
  <pageMargins left="0.786805555555556" right="0.590277777777778" top="0.984027777777778" bottom="0.984027777777778" header="0.313888888888889" footer="0.313888888888889"/>
  <pageSetup paperSize="9" scale="95" fitToHeight="0" orientation="portrait"/>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
  <sheetViews>
    <sheetView workbookViewId="0">
      <selection activeCell="J4" sqref="J4"/>
    </sheetView>
  </sheetViews>
  <sheetFormatPr defaultColWidth="9" defaultRowHeight="14.25" outlineLevelRow="4" outlineLevelCol="6"/>
  <cols>
    <col min="1" max="1" width="11" style="162" customWidth="1"/>
    <col min="2" max="2" width="13" style="162" customWidth="1"/>
    <col min="3" max="3" width="16.125" style="162" customWidth="1"/>
    <col min="4" max="4" width="14.625" style="162" customWidth="1"/>
    <col min="5" max="5" width="13" style="162" customWidth="1"/>
    <col min="6" max="6" width="14.5" style="162" customWidth="1"/>
    <col min="7" max="16384" width="9" style="162"/>
  </cols>
  <sheetData>
    <row r="1" s="157" customFormat="1" ht="20.1" customHeight="1" spans="1:1">
      <c r="A1" s="157" t="s">
        <v>22</v>
      </c>
    </row>
    <row r="2" s="158" customFormat="1" ht="45" customHeight="1" spans="1:6">
      <c r="A2" s="195" t="s">
        <v>552</v>
      </c>
      <c r="B2" s="195"/>
      <c r="C2" s="195"/>
      <c r="D2" s="195"/>
      <c r="E2" s="195"/>
      <c r="F2" s="195"/>
    </row>
    <row r="3" s="159" customFormat="1" ht="24.95" customHeight="1" spans="6:6">
      <c r="F3" s="159" t="s">
        <v>45</v>
      </c>
    </row>
    <row r="4" s="259" customFormat="1" ht="39.95" customHeight="1" spans="1:6">
      <c r="A4" s="260" t="s">
        <v>125</v>
      </c>
      <c r="B4" s="261" t="s">
        <v>553</v>
      </c>
      <c r="C4" s="261" t="s">
        <v>554</v>
      </c>
      <c r="D4" s="261" t="s">
        <v>555</v>
      </c>
      <c r="E4" s="261" t="s">
        <v>556</v>
      </c>
      <c r="F4" s="260" t="s">
        <v>3</v>
      </c>
    </row>
    <row r="5" ht="45" customHeight="1" spans="1:7">
      <c r="A5" s="262" t="s">
        <v>557</v>
      </c>
      <c r="B5" s="263">
        <v>618823</v>
      </c>
      <c r="C5" s="264">
        <f>40367+46991</f>
        <v>87358</v>
      </c>
      <c r="D5" s="264">
        <v>61395</v>
      </c>
      <c r="E5" s="264">
        <v>568032</v>
      </c>
      <c r="F5" s="265" t="s">
        <v>558</v>
      </c>
      <c r="G5" s="266"/>
    </row>
  </sheetData>
  <mergeCells count="1">
    <mergeCell ref="A2:F2"/>
  </mergeCells>
  <printOptions horizontalCentered="1"/>
  <pageMargins left="0.786805555555556" right="0.590277777777778" top="0.984027777777778" bottom="0.786805555555556" header="0.313888888888889" footer="0.313888888888889"/>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outlinePr summaryBelow="0" summaryRight="0"/>
  </sheetPr>
  <dimension ref="A1:Q312"/>
  <sheetViews>
    <sheetView workbookViewId="0">
      <pane ySplit="6" topLeftCell="A7" activePane="bottomLeft" state="frozen"/>
      <selection/>
      <selection pane="bottomLeft" activeCell="Q1" sqref="Q$1:Q$1048576"/>
    </sheetView>
  </sheetViews>
  <sheetFormatPr defaultColWidth="9" defaultRowHeight="15"/>
  <cols>
    <col min="1" max="1" width="6.125" style="239" customWidth="1"/>
    <col min="2" max="2" width="23.625" style="162" customWidth="1"/>
    <col min="3" max="3" width="8.75" style="162" customWidth="1"/>
    <col min="4" max="4" width="8.375" style="162" customWidth="1"/>
    <col min="5" max="5" width="8.5" style="162" customWidth="1"/>
    <col min="6" max="6" width="7.125" style="162" customWidth="1"/>
    <col min="7" max="7" width="5.625" style="162" customWidth="1"/>
    <col min="8" max="9" width="8.375" style="162" customWidth="1"/>
    <col min="10" max="10" width="6.625" style="162" customWidth="1"/>
    <col min="11" max="12" width="7.875" style="162" customWidth="1"/>
    <col min="13" max="15" width="5.625" style="162" customWidth="1"/>
    <col min="16" max="16" width="6.125" style="162" customWidth="1"/>
    <col min="17" max="17" width="9" style="162" hidden="1" customWidth="1"/>
    <col min="18" max="16384" width="9" style="162"/>
  </cols>
  <sheetData>
    <row r="1" s="157" customFormat="1" ht="20.1" customHeight="1" spans="1:1">
      <c r="A1" s="224" t="s">
        <v>24</v>
      </c>
    </row>
    <row r="2" s="158" customFormat="1" ht="25.5" spans="1:16">
      <c r="A2" s="240" t="s">
        <v>559</v>
      </c>
      <c r="B2" s="241"/>
      <c r="C2" s="241"/>
      <c r="D2" s="241"/>
      <c r="E2" s="241"/>
      <c r="F2" s="241"/>
      <c r="G2" s="241"/>
      <c r="H2" s="241"/>
      <c r="I2" s="241"/>
      <c r="J2" s="241"/>
      <c r="K2" s="241"/>
      <c r="L2" s="241"/>
      <c r="M2" s="241"/>
      <c r="N2" s="241"/>
      <c r="O2" s="241"/>
      <c r="P2" s="241"/>
    </row>
    <row r="3" s="159" customFormat="1" ht="20.1" customHeight="1" spans="1:16">
      <c r="A3" s="239"/>
      <c r="P3" s="212" t="s">
        <v>45</v>
      </c>
    </row>
    <row r="4" ht="20.1" customHeight="1" spans="1:16">
      <c r="A4" s="242" t="s">
        <v>560</v>
      </c>
      <c r="B4" s="243" t="s">
        <v>561</v>
      </c>
      <c r="C4" s="244" t="s">
        <v>562</v>
      </c>
      <c r="D4" s="244" t="s">
        <v>563</v>
      </c>
      <c r="E4" s="244"/>
      <c r="F4" s="244"/>
      <c r="G4" s="244"/>
      <c r="H4" s="244"/>
      <c r="I4" s="244"/>
      <c r="J4" s="244" t="s">
        <v>564</v>
      </c>
      <c r="K4" s="251" t="s">
        <v>565</v>
      </c>
      <c r="L4" s="251"/>
      <c r="M4" s="251"/>
      <c r="N4" s="251"/>
      <c r="O4" s="251"/>
      <c r="P4" s="251"/>
    </row>
    <row r="5" ht="20.1" customHeight="1" spans="1:16">
      <c r="A5" s="242"/>
      <c r="B5" s="243"/>
      <c r="C5" s="244"/>
      <c r="D5" s="245" t="s">
        <v>183</v>
      </c>
      <c r="E5" s="245" t="s">
        <v>566</v>
      </c>
      <c r="F5" s="246" t="s">
        <v>567</v>
      </c>
      <c r="G5" s="247"/>
      <c r="H5" s="247"/>
      <c r="I5" s="252"/>
      <c r="J5" s="244"/>
      <c r="K5" s="245" t="s">
        <v>568</v>
      </c>
      <c r="L5" s="245" t="s">
        <v>569</v>
      </c>
      <c r="M5" s="245" t="s">
        <v>570</v>
      </c>
      <c r="N5" s="245" t="s">
        <v>571</v>
      </c>
      <c r="O5" s="245" t="s">
        <v>572</v>
      </c>
      <c r="P5" s="245" t="s">
        <v>573</v>
      </c>
    </row>
    <row r="6" s="238" customFormat="1" ht="50.1" customHeight="1" spans="1:17">
      <c r="A6" s="242"/>
      <c r="B6" s="243"/>
      <c r="C6" s="244"/>
      <c r="D6" s="248"/>
      <c r="E6" s="248"/>
      <c r="F6" s="244" t="s">
        <v>568</v>
      </c>
      <c r="G6" s="244" t="s">
        <v>574</v>
      </c>
      <c r="H6" s="244" t="s">
        <v>575</v>
      </c>
      <c r="I6" s="244" t="s">
        <v>576</v>
      </c>
      <c r="J6" s="244"/>
      <c r="K6" s="248"/>
      <c r="L6" s="248"/>
      <c r="M6" s="248"/>
      <c r="N6" s="248"/>
      <c r="O6" s="248"/>
      <c r="P6" s="248"/>
      <c r="Q6" s="253" t="s">
        <v>577</v>
      </c>
    </row>
    <row r="7" ht="16.5" spans="1:17">
      <c r="A7" s="209"/>
      <c r="B7" s="214" t="s">
        <v>562</v>
      </c>
      <c r="C7" s="205">
        <f t="shared" ref="C7:F7" si="0">SUM(C8,C34,C51,C87,C106,C111,C120,C188,C192,C297,C311,C312,)</f>
        <v>858397.508918</v>
      </c>
      <c r="D7" s="205">
        <f t="shared" si="0"/>
        <v>736849.068646</v>
      </c>
      <c r="E7" s="205">
        <f t="shared" si="0"/>
        <v>680520.745791</v>
      </c>
      <c r="F7" s="205">
        <f t="shared" si="0"/>
        <v>56328.322855</v>
      </c>
      <c r="G7" s="205"/>
      <c r="H7" s="205">
        <f t="shared" ref="H7:L7" si="1">SUM(H8,H34,H51,H87,H106,H111,H120,H188,H192,H297,H311,H312,)</f>
        <v>653.45</v>
      </c>
      <c r="I7" s="205">
        <f t="shared" si="1"/>
        <v>55674.872855</v>
      </c>
      <c r="J7" s="205">
        <f t="shared" si="1"/>
        <v>4218</v>
      </c>
      <c r="K7" s="205">
        <f t="shared" si="1"/>
        <v>117330.440272</v>
      </c>
      <c r="L7" s="205">
        <f t="shared" si="1"/>
        <v>116345.500272</v>
      </c>
      <c r="M7" s="205"/>
      <c r="N7" s="205"/>
      <c r="O7" s="205"/>
      <c r="P7" s="205">
        <f>SUM(P8,P34,P51,P87,P106,P111,P120,P188,P192,P297,P311,P312,)</f>
        <v>984.94</v>
      </c>
      <c r="Q7" s="213" t="s">
        <v>578</v>
      </c>
    </row>
    <row r="8" ht="16.5" spans="1:17">
      <c r="A8" s="209"/>
      <c r="B8" s="204" t="s">
        <v>579</v>
      </c>
      <c r="C8" s="205">
        <f>SUM(C9:C33)</f>
        <v>63804.526597</v>
      </c>
      <c r="D8" s="205">
        <f>SUM(D9:D33)</f>
        <v>63804.526597</v>
      </c>
      <c r="E8" s="205">
        <f>SUM(E9:E33)</f>
        <v>63804.526597</v>
      </c>
      <c r="F8" s="205"/>
      <c r="G8" s="205"/>
      <c r="H8" s="205"/>
      <c r="I8" s="205"/>
      <c r="J8" s="205"/>
      <c r="K8" s="205"/>
      <c r="L8" s="205"/>
      <c r="M8" s="205"/>
      <c r="N8" s="205"/>
      <c r="O8" s="205"/>
      <c r="P8" s="205"/>
      <c r="Q8" s="213" t="s">
        <v>578</v>
      </c>
    </row>
    <row r="9" ht="16.5" spans="1:17">
      <c r="A9" s="390" t="s">
        <v>580</v>
      </c>
      <c r="B9" s="217" t="s">
        <v>581</v>
      </c>
      <c r="C9" s="229">
        <v>1709.995075</v>
      </c>
      <c r="D9" s="229">
        <v>1709.995075</v>
      </c>
      <c r="E9" s="229">
        <v>1709.995075</v>
      </c>
      <c r="F9" s="229"/>
      <c r="G9" s="229"/>
      <c r="H9" s="229"/>
      <c r="I9" s="229"/>
      <c r="J9" s="229"/>
      <c r="K9" s="229"/>
      <c r="L9" s="229"/>
      <c r="M9" s="229"/>
      <c r="N9" s="229"/>
      <c r="O9" s="229"/>
      <c r="P9" s="229"/>
      <c r="Q9" s="213" t="s">
        <v>578</v>
      </c>
    </row>
    <row r="10" ht="16.5" spans="1:17">
      <c r="A10" s="390" t="s">
        <v>582</v>
      </c>
      <c r="B10" s="217" t="s">
        <v>583</v>
      </c>
      <c r="C10" s="229">
        <v>333.845111</v>
      </c>
      <c r="D10" s="229">
        <v>333.845111</v>
      </c>
      <c r="E10" s="229">
        <v>333.845111</v>
      </c>
      <c r="F10" s="229"/>
      <c r="G10" s="229"/>
      <c r="H10" s="229"/>
      <c r="I10" s="229"/>
      <c r="J10" s="229"/>
      <c r="K10" s="229"/>
      <c r="L10" s="229"/>
      <c r="M10" s="229"/>
      <c r="N10" s="229"/>
      <c r="O10" s="229"/>
      <c r="P10" s="229"/>
      <c r="Q10" s="213" t="s">
        <v>578</v>
      </c>
    </row>
    <row r="11" ht="16.5" spans="1:17">
      <c r="A11" s="390" t="s">
        <v>584</v>
      </c>
      <c r="B11" s="217" t="s">
        <v>585</v>
      </c>
      <c r="C11" s="229">
        <v>726.0495</v>
      </c>
      <c r="D11" s="229">
        <v>726.0495</v>
      </c>
      <c r="E11" s="229">
        <v>726.0495</v>
      </c>
      <c r="F11" s="229"/>
      <c r="G11" s="229"/>
      <c r="H11" s="229"/>
      <c r="I11" s="229"/>
      <c r="J11" s="229"/>
      <c r="K11" s="229"/>
      <c r="L11" s="229"/>
      <c r="M11" s="229"/>
      <c r="N11" s="229"/>
      <c r="O11" s="229"/>
      <c r="P11" s="229"/>
      <c r="Q11" s="213" t="s">
        <v>578</v>
      </c>
    </row>
    <row r="12" ht="16.5" spans="1:17">
      <c r="A12" s="390" t="s">
        <v>586</v>
      </c>
      <c r="B12" s="217" t="s">
        <v>587</v>
      </c>
      <c r="C12" s="229">
        <v>1537.370348</v>
      </c>
      <c r="D12" s="229">
        <v>1537.370348</v>
      </c>
      <c r="E12" s="229">
        <v>1537.370348</v>
      </c>
      <c r="F12" s="229"/>
      <c r="G12" s="229"/>
      <c r="H12" s="229"/>
      <c r="I12" s="229"/>
      <c r="J12" s="229"/>
      <c r="K12" s="229"/>
      <c r="L12" s="229"/>
      <c r="M12" s="229"/>
      <c r="N12" s="229"/>
      <c r="O12" s="229"/>
      <c r="P12" s="229"/>
      <c r="Q12" s="213" t="s">
        <v>578</v>
      </c>
    </row>
    <row r="13" ht="16.5" spans="1:17">
      <c r="A13" s="390" t="s">
        <v>588</v>
      </c>
      <c r="B13" s="210" t="s">
        <v>589</v>
      </c>
      <c r="C13" s="229">
        <v>1300</v>
      </c>
      <c r="D13" s="229">
        <v>1300</v>
      </c>
      <c r="E13" s="229">
        <v>1300</v>
      </c>
      <c r="F13" s="229"/>
      <c r="G13" s="229"/>
      <c r="H13" s="229"/>
      <c r="I13" s="229"/>
      <c r="J13" s="229"/>
      <c r="K13" s="229"/>
      <c r="L13" s="229"/>
      <c r="M13" s="229"/>
      <c r="N13" s="229"/>
      <c r="O13" s="229"/>
      <c r="P13" s="229"/>
      <c r="Q13" s="213" t="s">
        <v>578</v>
      </c>
    </row>
    <row r="14" ht="16.5" spans="1:17">
      <c r="A14" s="390" t="s">
        <v>590</v>
      </c>
      <c r="B14" s="217" t="s">
        <v>591</v>
      </c>
      <c r="C14" s="229">
        <v>1260.567476</v>
      </c>
      <c r="D14" s="229">
        <v>1260.567476</v>
      </c>
      <c r="E14" s="229">
        <v>1260.567476</v>
      </c>
      <c r="F14" s="229"/>
      <c r="G14" s="229"/>
      <c r="H14" s="229"/>
      <c r="I14" s="229"/>
      <c r="J14" s="229"/>
      <c r="K14" s="229"/>
      <c r="L14" s="229"/>
      <c r="M14" s="229"/>
      <c r="N14" s="229"/>
      <c r="O14" s="229"/>
      <c r="P14" s="229"/>
      <c r="Q14" s="213" t="s">
        <v>578</v>
      </c>
    </row>
    <row r="15" ht="16.5" spans="1:17">
      <c r="A15" s="390" t="s">
        <v>592</v>
      </c>
      <c r="B15" s="217" t="s">
        <v>593</v>
      </c>
      <c r="C15" s="229">
        <v>590.908752</v>
      </c>
      <c r="D15" s="229">
        <v>590.908752</v>
      </c>
      <c r="E15" s="229">
        <v>590.908752</v>
      </c>
      <c r="F15" s="229"/>
      <c r="G15" s="229"/>
      <c r="H15" s="229"/>
      <c r="I15" s="229"/>
      <c r="J15" s="229"/>
      <c r="K15" s="229"/>
      <c r="L15" s="229"/>
      <c r="M15" s="229"/>
      <c r="N15" s="229"/>
      <c r="O15" s="229"/>
      <c r="P15" s="229"/>
      <c r="Q15" s="213" t="s">
        <v>578</v>
      </c>
    </row>
    <row r="16" ht="16.5" spans="1:17">
      <c r="A16" s="390" t="s">
        <v>594</v>
      </c>
      <c r="B16" s="217" t="s">
        <v>595</v>
      </c>
      <c r="C16" s="229">
        <v>219.618913</v>
      </c>
      <c r="D16" s="229">
        <v>219.618913</v>
      </c>
      <c r="E16" s="229">
        <v>219.618913</v>
      </c>
      <c r="F16" s="229"/>
      <c r="G16" s="229"/>
      <c r="H16" s="229"/>
      <c r="I16" s="229"/>
      <c r="J16" s="229"/>
      <c r="K16" s="229"/>
      <c r="L16" s="229"/>
      <c r="M16" s="229"/>
      <c r="N16" s="229"/>
      <c r="O16" s="229"/>
      <c r="P16" s="229"/>
      <c r="Q16" s="213" t="s">
        <v>578</v>
      </c>
    </row>
    <row r="17" ht="16.5" spans="1:17">
      <c r="A17" s="390" t="s">
        <v>596</v>
      </c>
      <c r="B17" s="217" t="s">
        <v>597</v>
      </c>
      <c r="C17" s="229">
        <v>348.378805</v>
      </c>
      <c r="D17" s="229">
        <v>348.378805</v>
      </c>
      <c r="E17" s="229">
        <v>348.378805</v>
      </c>
      <c r="F17" s="229"/>
      <c r="G17" s="229"/>
      <c r="H17" s="229"/>
      <c r="I17" s="229"/>
      <c r="J17" s="229"/>
      <c r="K17" s="229"/>
      <c r="L17" s="229"/>
      <c r="M17" s="229"/>
      <c r="N17" s="229"/>
      <c r="O17" s="229"/>
      <c r="P17" s="229"/>
      <c r="Q17" s="213" t="s">
        <v>578</v>
      </c>
    </row>
    <row r="18" ht="16.5" spans="1:17">
      <c r="A18" s="390" t="s">
        <v>598</v>
      </c>
      <c r="B18" s="217" t="s">
        <v>599</v>
      </c>
      <c r="C18" s="229">
        <v>1866.599779</v>
      </c>
      <c r="D18" s="229">
        <v>1866.599779</v>
      </c>
      <c r="E18" s="229">
        <v>1866.599779</v>
      </c>
      <c r="F18" s="229"/>
      <c r="G18" s="229"/>
      <c r="H18" s="229"/>
      <c r="I18" s="229"/>
      <c r="J18" s="229"/>
      <c r="K18" s="229"/>
      <c r="L18" s="229"/>
      <c r="M18" s="229"/>
      <c r="N18" s="229"/>
      <c r="O18" s="229"/>
      <c r="P18" s="229"/>
      <c r="Q18" s="213" t="s">
        <v>578</v>
      </c>
    </row>
    <row r="19" ht="16.5" spans="1:17">
      <c r="A19" s="390" t="s">
        <v>600</v>
      </c>
      <c r="B19" s="217" t="s">
        <v>601</v>
      </c>
      <c r="C19" s="229">
        <v>1513.812553</v>
      </c>
      <c r="D19" s="229">
        <v>1513.812553</v>
      </c>
      <c r="E19" s="229">
        <v>1513.812553</v>
      </c>
      <c r="F19" s="229"/>
      <c r="G19" s="229"/>
      <c r="H19" s="229"/>
      <c r="I19" s="229"/>
      <c r="J19" s="229"/>
      <c r="K19" s="229"/>
      <c r="L19" s="229"/>
      <c r="M19" s="229"/>
      <c r="N19" s="229"/>
      <c r="O19" s="229"/>
      <c r="P19" s="229"/>
      <c r="Q19" s="213" t="s">
        <v>578</v>
      </c>
    </row>
    <row r="20" ht="16.5" spans="1:17">
      <c r="A20" s="390" t="s">
        <v>602</v>
      </c>
      <c r="B20" s="217" t="s">
        <v>603</v>
      </c>
      <c r="C20" s="229">
        <v>2594.314383</v>
      </c>
      <c r="D20" s="229">
        <v>2594.314383</v>
      </c>
      <c r="E20" s="229">
        <v>2594.314383</v>
      </c>
      <c r="F20" s="229"/>
      <c r="G20" s="229"/>
      <c r="H20" s="229"/>
      <c r="I20" s="229"/>
      <c r="J20" s="229"/>
      <c r="K20" s="229"/>
      <c r="L20" s="229"/>
      <c r="M20" s="229"/>
      <c r="N20" s="229"/>
      <c r="O20" s="229"/>
      <c r="P20" s="229"/>
      <c r="Q20" s="213" t="s">
        <v>578</v>
      </c>
    </row>
    <row r="21" ht="16.5" spans="1:17">
      <c r="A21" s="390" t="s">
        <v>604</v>
      </c>
      <c r="B21" s="217" t="s">
        <v>605</v>
      </c>
      <c r="C21" s="229">
        <v>1882.367963</v>
      </c>
      <c r="D21" s="229">
        <v>1882.367963</v>
      </c>
      <c r="E21" s="229">
        <v>1882.367963</v>
      </c>
      <c r="F21" s="229"/>
      <c r="G21" s="229"/>
      <c r="H21" s="229"/>
      <c r="I21" s="229"/>
      <c r="J21" s="229"/>
      <c r="K21" s="229"/>
      <c r="L21" s="229"/>
      <c r="M21" s="229"/>
      <c r="N21" s="229"/>
      <c r="O21" s="229"/>
      <c r="P21" s="229"/>
      <c r="Q21" s="213" t="s">
        <v>578</v>
      </c>
    </row>
    <row r="22" ht="16.5" spans="1:17">
      <c r="A22" s="390" t="s">
        <v>606</v>
      </c>
      <c r="B22" s="217" t="s">
        <v>607</v>
      </c>
      <c r="C22" s="229">
        <v>328.833714</v>
      </c>
      <c r="D22" s="229">
        <v>328.833714</v>
      </c>
      <c r="E22" s="229">
        <v>328.833714</v>
      </c>
      <c r="F22" s="229"/>
      <c r="G22" s="229"/>
      <c r="H22" s="229"/>
      <c r="I22" s="229"/>
      <c r="J22" s="229"/>
      <c r="K22" s="229"/>
      <c r="L22" s="229"/>
      <c r="M22" s="229"/>
      <c r="N22" s="229"/>
      <c r="O22" s="229"/>
      <c r="P22" s="229"/>
      <c r="Q22" s="213" t="s">
        <v>578</v>
      </c>
    </row>
    <row r="23" ht="16.5" spans="1:17">
      <c r="A23" s="390" t="s">
        <v>608</v>
      </c>
      <c r="B23" s="217" t="s">
        <v>609</v>
      </c>
      <c r="C23" s="229">
        <v>1251.007822</v>
      </c>
      <c r="D23" s="229">
        <v>1251.007822</v>
      </c>
      <c r="E23" s="229">
        <v>1251.007822</v>
      </c>
      <c r="F23" s="229"/>
      <c r="G23" s="229"/>
      <c r="H23" s="229"/>
      <c r="I23" s="229"/>
      <c r="J23" s="229"/>
      <c r="K23" s="229"/>
      <c r="L23" s="229"/>
      <c r="M23" s="229"/>
      <c r="N23" s="229"/>
      <c r="O23" s="229"/>
      <c r="P23" s="229"/>
      <c r="Q23" s="213" t="s">
        <v>578</v>
      </c>
    </row>
    <row r="24" ht="16.5" spans="1:17">
      <c r="A24" s="390" t="s">
        <v>610</v>
      </c>
      <c r="B24" s="217" t="s">
        <v>611</v>
      </c>
      <c r="C24" s="229">
        <v>1408.005727</v>
      </c>
      <c r="D24" s="229">
        <v>1408.005727</v>
      </c>
      <c r="E24" s="229">
        <v>1408.005727</v>
      </c>
      <c r="F24" s="229"/>
      <c r="G24" s="229"/>
      <c r="H24" s="229"/>
      <c r="I24" s="229"/>
      <c r="J24" s="229"/>
      <c r="K24" s="229"/>
      <c r="L24" s="229"/>
      <c r="M24" s="229"/>
      <c r="N24" s="229"/>
      <c r="O24" s="229"/>
      <c r="P24" s="229"/>
      <c r="Q24" s="213" t="s">
        <v>578</v>
      </c>
    </row>
    <row r="25" ht="16.5" spans="1:17">
      <c r="A25" s="390" t="s">
        <v>612</v>
      </c>
      <c r="B25" s="217" t="s">
        <v>613</v>
      </c>
      <c r="C25" s="229">
        <v>4165.435745</v>
      </c>
      <c r="D25" s="229">
        <v>4165.435745</v>
      </c>
      <c r="E25" s="229">
        <v>4165.435745</v>
      </c>
      <c r="F25" s="229"/>
      <c r="G25" s="229"/>
      <c r="H25" s="229"/>
      <c r="I25" s="229"/>
      <c r="J25" s="229"/>
      <c r="K25" s="229"/>
      <c r="L25" s="229"/>
      <c r="M25" s="229"/>
      <c r="N25" s="229"/>
      <c r="O25" s="229"/>
      <c r="P25" s="229"/>
      <c r="Q25" s="213" t="s">
        <v>578</v>
      </c>
    </row>
    <row r="26" ht="16.5" spans="1:17">
      <c r="A26" s="390" t="s">
        <v>614</v>
      </c>
      <c r="B26" s="217" t="s">
        <v>615</v>
      </c>
      <c r="C26" s="229">
        <v>25680.80942</v>
      </c>
      <c r="D26" s="229">
        <v>25680.80942</v>
      </c>
      <c r="E26" s="229">
        <v>25680.80942</v>
      </c>
      <c r="F26" s="229"/>
      <c r="G26" s="229"/>
      <c r="H26" s="229"/>
      <c r="I26" s="229"/>
      <c r="J26" s="229"/>
      <c r="K26" s="229"/>
      <c r="L26" s="229"/>
      <c r="M26" s="229"/>
      <c r="N26" s="229"/>
      <c r="O26" s="229"/>
      <c r="P26" s="229"/>
      <c r="Q26" s="213" t="s">
        <v>578</v>
      </c>
    </row>
    <row r="27" ht="16.5" spans="1:17">
      <c r="A27" s="390" t="s">
        <v>616</v>
      </c>
      <c r="B27" s="217" t="s">
        <v>617</v>
      </c>
      <c r="C27" s="229">
        <v>2386.039149</v>
      </c>
      <c r="D27" s="229">
        <v>2386.039149</v>
      </c>
      <c r="E27" s="229">
        <v>2386.039149</v>
      </c>
      <c r="F27" s="229"/>
      <c r="G27" s="229"/>
      <c r="H27" s="229"/>
      <c r="I27" s="229"/>
      <c r="J27" s="229"/>
      <c r="K27" s="229"/>
      <c r="L27" s="229"/>
      <c r="M27" s="229"/>
      <c r="N27" s="229"/>
      <c r="O27" s="229"/>
      <c r="P27" s="229"/>
      <c r="Q27" s="213" t="s">
        <v>578</v>
      </c>
    </row>
    <row r="28" ht="16.5" spans="1:17">
      <c r="A28" s="390" t="s">
        <v>618</v>
      </c>
      <c r="B28" s="217" t="s">
        <v>619</v>
      </c>
      <c r="C28" s="229">
        <v>576.564334</v>
      </c>
      <c r="D28" s="229">
        <v>576.564334</v>
      </c>
      <c r="E28" s="229">
        <v>576.564334</v>
      </c>
      <c r="F28" s="229"/>
      <c r="G28" s="229"/>
      <c r="H28" s="229"/>
      <c r="I28" s="229"/>
      <c r="J28" s="229"/>
      <c r="K28" s="229"/>
      <c r="L28" s="229"/>
      <c r="M28" s="229"/>
      <c r="N28" s="229"/>
      <c r="O28" s="229"/>
      <c r="P28" s="229"/>
      <c r="Q28" s="213" t="s">
        <v>578</v>
      </c>
    </row>
    <row r="29" ht="16.5" spans="1:17">
      <c r="A29" s="390" t="s">
        <v>620</v>
      </c>
      <c r="B29" s="217" t="s">
        <v>621</v>
      </c>
      <c r="C29" s="229">
        <v>4092.406214</v>
      </c>
      <c r="D29" s="229">
        <v>4092.406214</v>
      </c>
      <c r="E29" s="229">
        <v>4092.406214</v>
      </c>
      <c r="F29" s="229"/>
      <c r="G29" s="229"/>
      <c r="H29" s="229"/>
      <c r="I29" s="229"/>
      <c r="J29" s="229"/>
      <c r="K29" s="229"/>
      <c r="L29" s="229"/>
      <c r="M29" s="229"/>
      <c r="N29" s="229"/>
      <c r="O29" s="229"/>
      <c r="P29" s="229"/>
      <c r="Q29" s="213" t="s">
        <v>578</v>
      </c>
    </row>
    <row r="30" ht="16.5" spans="1:17">
      <c r="A30" s="390" t="s">
        <v>622</v>
      </c>
      <c r="B30" s="217" t="s">
        <v>623</v>
      </c>
      <c r="C30" s="229">
        <v>523.254971</v>
      </c>
      <c r="D30" s="229">
        <v>523.254971</v>
      </c>
      <c r="E30" s="229">
        <v>523.254971</v>
      </c>
      <c r="F30" s="229"/>
      <c r="G30" s="229"/>
      <c r="H30" s="229"/>
      <c r="I30" s="229"/>
      <c r="J30" s="229"/>
      <c r="K30" s="229"/>
      <c r="L30" s="229"/>
      <c r="M30" s="229"/>
      <c r="N30" s="229"/>
      <c r="O30" s="229"/>
      <c r="P30" s="229"/>
      <c r="Q30" s="213" t="s">
        <v>578</v>
      </c>
    </row>
    <row r="31" ht="16.5" spans="1:17">
      <c r="A31" s="390" t="s">
        <v>624</v>
      </c>
      <c r="B31" s="217" t="s">
        <v>625</v>
      </c>
      <c r="C31" s="229">
        <v>6532.22085</v>
      </c>
      <c r="D31" s="229">
        <v>6532.22085</v>
      </c>
      <c r="E31" s="229">
        <v>6532.22085</v>
      </c>
      <c r="F31" s="229"/>
      <c r="G31" s="229"/>
      <c r="H31" s="229"/>
      <c r="I31" s="229"/>
      <c r="J31" s="229"/>
      <c r="K31" s="229"/>
      <c r="L31" s="229"/>
      <c r="M31" s="229"/>
      <c r="N31" s="229"/>
      <c r="O31" s="229"/>
      <c r="P31" s="229"/>
      <c r="Q31" s="213" t="s">
        <v>578</v>
      </c>
    </row>
    <row r="32" ht="16.5" spans="1:17">
      <c r="A32" s="390" t="s">
        <v>626</v>
      </c>
      <c r="B32" s="217" t="s">
        <v>627</v>
      </c>
      <c r="C32" s="229">
        <v>767.547181</v>
      </c>
      <c r="D32" s="229">
        <v>767.547181</v>
      </c>
      <c r="E32" s="229">
        <v>767.547181</v>
      </c>
      <c r="F32" s="229"/>
      <c r="G32" s="229"/>
      <c r="H32" s="229"/>
      <c r="I32" s="229"/>
      <c r="J32" s="229"/>
      <c r="K32" s="229"/>
      <c r="L32" s="229"/>
      <c r="M32" s="229"/>
      <c r="N32" s="229"/>
      <c r="O32" s="229"/>
      <c r="P32" s="229"/>
      <c r="Q32" s="213" t="s">
        <v>578</v>
      </c>
    </row>
    <row r="33" ht="16.5" spans="1:17">
      <c r="A33" s="390" t="s">
        <v>628</v>
      </c>
      <c r="B33" s="217" t="s">
        <v>629</v>
      </c>
      <c r="C33" s="229">
        <v>208.572812</v>
      </c>
      <c r="D33" s="229">
        <v>208.572812</v>
      </c>
      <c r="E33" s="229">
        <v>208.572812</v>
      </c>
      <c r="F33" s="229"/>
      <c r="G33" s="229"/>
      <c r="H33" s="229"/>
      <c r="I33" s="229"/>
      <c r="J33" s="229"/>
      <c r="K33" s="229"/>
      <c r="L33" s="229"/>
      <c r="M33" s="229"/>
      <c r="N33" s="229"/>
      <c r="O33" s="229"/>
      <c r="P33" s="229"/>
      <c r="Q33" s="213" t="s">
        <v>578</v>
      </c>
    </row>
    <row r="34" ht="16.5" spans="1:17">
      <c r="A34" s="250"/>
      <c r="B34" s="204" t="s">
        <v>630</v>
      </c>
      <c r="C34" s="205">
        <f>SUM(C35:C50)</f>
        <v>10671.410082</v>
      </c>
      <c r="D34" s="205">
        <f>SUM(D35:D50)</f>
        <v>10671.410082</v>
      </c>
      <c r="E34" s="205">
        <f>SUM(E35:E50)</f>
        <v>10671.410082</v>
      </c>
      <c r="F34" s="205"/>
      <c r="G34" s="205"/>
      <c r="H34" s="205"/>
      <c r="I34" s="205"/>
      <c r="J34" s="205"/>
      <c r="K34" s="205"/>
      <c r="L34" s="205"/>
      <c r="M34" s="205"/>
      <c r="N34" s="205"/>
      <c r="O34" s="205"/>
      <c r="P34" s="205"/>
      <c r="Q34" s="213" t="s">
        <v>578</v>
      </c>
    </row>
    <row r="35" ht="16.5" spans="1:17">
      <c r="A35" s="249" t="s">
        <v>631</v>
      </c>
      <c r="B35" s="217" t="s">
        <v>632</v>
      </c>
      <c r="C35" s="229">
        <v>1068.808657</v>
      </c>
      <c r="D35" s="229">
        <v>1068.808657</v>
      </c>
      <c r="E35" s="229">
        <v>1068.808657</v>
      </c>
      <c r="F35" s="229"/>
      <c r="G35" s="229"/>
      <c r="H35" s="229"/>
      <c r="I35" s="229"/>
      <c r="J35" s="229"/>
      <c r="K35" s="229"/>
      <c r="L35" s="229"/>
      <c r="M35" s="229"/>
      <c r="N35" s="229"/>
      <c r="O35" s="229"/>
      <c r="P35" s="229"/>
      <c r="Q35" s="213" t="s">
        <v>578</v>
      </c>
    </row>
    <row r="36" ht="16.5" spans="1:17">
      <c r="A36" s="249" t="s">
        <v>633</v>
      </c>
      <c r="B36" s="217" t="s">
        <v>634</v>
      </c>
      <c r="C36" s="229">
        <v>553.119496</v>
      </c>
      <c r="D36" s="229">
        <v>553.119496</v>
      </c>
      <c r="E36" s="229">
        <v>553.119496</v>
      </c>
      <c r="F36" s="229"/>
      <c r="G36" s="229"/>
      <c r="H36" s="229"/>
      <c r="I36" s="229"/>
      <c r="J36" s="229"/>
      <c r="K36" s="229"/>
      <c r="L36" s="229"/>
      <c r="M36" s="229"/>
      <c r="N36" s="229"/>
      <c r="O36" s="229"/>
      <c r="P36" s="229"/>
      <c r="Q36" s="213" t="s">
        <v>578</v>
      </c>
    </row>
    <row r="37" ht="16.5" spans="1:17">
      <c r="A37" s="249" t="s">
        <v>635</v>
      </c>
      <c r="B37" s="217" t="s">
        <v>636</v>
      </c>
      <c r="C37" s="229">
        <v>1927.572343</v>
      </c>
      <c r="D37" s="229">
        <v>1927.572343</v>
      </c>
      <c r="E37" s="229">
        <v>1927.572343</v>
      </c>
      <c r="F37" s="229"/>
      <c r="G37" s="229"/>
      <c r="H37" s="229"/>
      <c r="I37" s="229"/>
      <c r="J37" s="229"/>
      <c r="K37" s="229"/>
      <c r="L37" s="229"/>
      <c r="M37" s="229"/>
      <c r="N37" s="229"/>
      <c r="O37" s="229"/>
      <c r="P37" s="229"/>
      <c r="Q37" s="213" t="s">
        <v>578</v>
      </c>
    </row>
    <row r="38" ht="16.5" spans="1:17">
      <c r="A38" s="249" t="s">
        <v>637</v>
      </c>
      <c r="B38" s="217" t="s">
        <v>638</v>
      </c>
      <c r="C38" s="229">
        <v>253.198308</v>
      </c>
      <c r="D38" s="229">
        <v>253.198308</v>
      </c>
      <c r="E38" s="229">
        <v>253.198308</v>
      </c>
      <c r="F38" s="229"/>
      <c r="G38" s="229"/>
      <c r="H38" s="229"/>
      <c r="I38" s="229"/>
      <c r="J38" s="229"/>
      <c r="K38" s="229"/>
      <c r="L38" s="229"/>
      <c r="M38" s="229"/>
      <c r="N38" s="229"/>
      <c r="O38" s="229"/>
      <c r="P38" s="229"/>
      <c r="Q38" s="213" t="s">
        <v>578</v>
      </c>
    </row>
    <row r="39" ht="16.5" spans="1:17">
      <c r="A39" s="249" t="s">
        <v>639</v>
      </c>
      <c r="B39" s="217" t="s">
        <v>640</v>
      </c>
      <c r="C39" s="229">
        <v>619.1208</v>
      </c>
      <c r="D39" s="229">
        <v>619.1208</v>
      </c>
      <c r="E39" s="229">
        <v>619.1208</v>
      </c>
      <c r="F39" s="229"/>
      <c r="G39" s="229"/>
      <c r="H39" s="229"/>
      <c r="I39" s="229"/>
      <c r="J39" s="229"/>
      <c r="K39" s="229"/>
      <c r="L39" s="229"/>
      <c r="M39" s="229"/>
      <c r="N39" s="229"/>
      <c r="O39" s="229"/>
      <c r="P39" s="229"/>
      <c r="Q39" s="213" t="s">
        <v>578</v>
      </c>
    </row>
    <row r="40" ht="16.5" spans="1:17">
      <c r="A40" s="249" t="s">
        <v>641</v>
      </c>
      <c r="B40" s="217" t="s">
        <v>642</v>
      </c>
      <c r="C40" s="229">
        <v>404.003311</v>
      </c>
      <c r="D40" s="229">
        <v>404.003311</v>
      </c>
      <c r="E40" s="229">
        <v>404.003311</v>
      </c>
      <c r="F40" s="229"/>
      <c r="G40" s="229"/>
      <c r="H40" s="229"/>
      <c r="I40" s="229"/>
      <c r="J40" s="229"/>
      <c r="K40" s="229"/>
      <c r="L40" s="229"/>
      <c r="M40" s="229"/>
      <c r="N40" s="229"/>
      <c r="O40" s="229"/>
      <c r="P40" s="229"/>
      <c r="Q40" s="213" t="s">
        <v>578</v>
      </c>
    </row>
    <row r="41" ht="16.5" spans="1:17">
      <c r="A41" s="249" t="s">
        <v>643</v>
      </c>
      <c r="B41" s="217" t="s">
        <v>644</v>
      </c>
      <c r="C41" s="229">
        <v>84.645779</v>
      </c>
      <c r="D41" s="229">
        <v>84.645779</v>
      </c>
      <c r="E41" s="229">
        <v>84.645779</v>
      </c>
      <c r="F41" s="229"/>
      <c r="G41" s="229"/>
      <c r="H41" s="229"/>
      <c r="I41" s="229"/>
      <c r="J41" s="229"/>
      <c r="K41" s="229"/>
      <c r="L41" s="229"/>
      <c r="M41" s="229"/>
      <c r="N41" s="229"/>
      <c r="O41" s="229"/>
      <c r="P41" s="229"/>
      <c r="Q41" s="213" t="s">
        <v>578</v>
      </c>
    </row>
    <row r="42" ht="16.5" spans="1:17">
      <c r="A42" s="249" t="s">
        <v>645</v>
      </c>
      <c r="B42" s="217" t="s">
        <v>646</v>
      </c>
      <c r="C42" s="229">
        <v>581.561728</v>
      </c>
      <c r="D42" s="229">
        <v>581.561728</v>
      </c>
      <c r="E42" s="229">
        <v>581.561728</v>
      </c>
      <c r="F42" s="229"/>
      <c r="G42" s="229"/>
      <c r="H42" s="229"/>
      <c r="I42" s="229"/>
      <c r="J42" s="229"/>
      <c r="K42" s="229"/>
      <c r="L42" s="229"/>
      <c r="M42" s="229"/>
      <c r="N42" s="229"/>
      <c r="O42" s="229"/>
      <c r="P42" s="229"/>
      <c r="Q42" s="213" t="s">
        <v>578</v>
      </c>
    </row>
    <row r="43" ht="16.5" spans="1:17">
      <c r="A43" s="249" t="s">
        <v>647</v>
      </c>
      <c r="B43" s="217" t="s">
        <v>648</v>
      </c>
      <c r="C43" s="229">
        <v>488.349382</v>
      </c>
      <c r="D43" s="229">
        <v>488.349382</v>
      </c>
      <c r="E43" s="229">
        <v>488.349382</v>
      </c>
      <c r="F43" s="229"/>
      <c r="G43" s="229"/>
      <c r="H43" s="229"/>
      <c r="I43" s="229"/>
      <c r="J43" s="229"/>
      <c r="K43" s="229"/>
      <c r="L43" s="229"/>
      <c r="M43" s="229"/>
      <c r="N43" s="229"/>
      <c r="O43" s="229"/>
      <c r="P43" s="229"/>
      <c r="Q43" s="213" t="s">
        <v>578</v>
      </c>
    </row>
    <row r="44" ht="16.5" spans="1:17">
      <c r="A44" s="249" t="s">
        <v>649</v>
      </c>
      <c r="B44" s="217" t="s">
        <v>650</v>
      </c>
      <c r="C44" s="229">
        <v>436.86205</v>
      </c>
      <c r="D44" s="229">
        <v>436.86205</v>
      </c>
      <c r="E44" s="229">
        <v>436.86205</v>
      </c>
      <c r="F44" s="229"/>
      <c r="G44" s="229"/>
      <c r="H44" s="229"/>
      <c r="I44" s="229"/>
      <c r="J44" s="229"/>
      <c r="K44" s="229"/>
      <c r="L44" s="229"/>
      <c r="M44" s="229"/>
      <c r="N44" s="229"/>
      <c r="O44" s="229"/>
      <c r="P44" s="229"/>
      <c r="Q44" s="213" t="s">
        <v>578</v>
      </c>
    </row>
    <row r="45" ht="16.5" spans="1:17">
      <c r="A45" s="249" t="s">
        <v>651</v>
      </c>
      <c r="B45" s="217" t="s">
        <v>652</v>
      </c>
      <c r="C45" s="229">
        <v>384.150613</v>
      </c>
      <c r="D45" s="229">
        <v>384.150613</v>
      </c>
      <c r="E45" s="229">
        <v>384.150613</v>
      </c>
      <c r="F45" s="229"/>
      <c r="G45" s="229"/>
      <c r="H45" s="229"/>
      <c r="I45" s="229"/>
      <c r="J45" s="229"/>
      <c r="K45" s="229"/>
      <c r="L45" s="229"/>
      <c r="M45" s="229"/>
      <c r="N45" s="229"/>
      <c r="O45" s="229"/>
      <c r="P45" s="229"/>
      <c r="Q45" s="213" t="s">
        <v>578</v>
      </c>
    </row>
    <row r="46" ht="16.5" spans="1:17">
      <c r="A46" s="249" t="s">
        <v>653</v>
      </c>
      <c r="B46" s="217" t="s">
        <v>654</v>
      </c>
      <c r="C46" s="229">
        <v>1852.330757</v>
      </c>
      <c r="D46" s="229">
        <v>1852.330757</v>
      </c>
      <c r="E46" s="229">
        <v>1852.330757</v>
      </c>
      <c r="F46" s="229"/>
      <c r="G46" s="229"/>
      <c r="H46" s="229"/>
      <c r="I46" s="229"/>
      <c r="J46" s="229"/>
      <c r="K46" s="229"/>
      <c r="L46" s="229"/>
      <c r="M46" s="229"/>
      <c r="N46" s="229"/>
      <c r="O46" s="229"/>
      <c r="P46" s="229"/>
      <c r="Q46" s="213" t="s">
        <v>578</v>
      </c>
    </row>
    <row r="47" ht="16.5" spans="1:17">
      <c r="A47" s="249" t="s">
        <v>655</v>
      </c>
      <c r="B47" s="217" t="s">
        <v>656</v>
      </c>
      <c r="C47" s="229">
        <v>1092.118146</v>
      </c>
      <c r="D47" s="229">
        <v>1092.118146</v>
      </c>
      <c r="E47" s="229">
        <v>1092.118146</v>
      </c>
      <c r="F47" s="229"/>
      <c r="G47" s="229"/>
      <c r="H47" s="229"/>
      <c r="I47" s="229"/>
      <c r="J47" s="229"/>
      <c r="K47" s="229"/>
      <c r="L47" s="229"/>
      <c r="M47" s="229"/>
      <c r="N47" s="229"/>
      <c r="O47" s="229"/>
      <c r="P47" s="229"/>
      <c r="Q47" s="213" t="s">
        <v>578</v>
      </c>
    </row>
    <row r="48" ht="16.5" spans="1:17">
      <c r="A48" s="249" t="s">
        <v>657</v>
      </c>
      <c r="B48" s="217" t="s">
        <v>658</v>
      </c>
      <c r="C48" s="229">
        <v>245.37317</v>
      </c>
      <c r="D48" s="229">
        <v>245.37317</v>
      </c>
      <c r="E48" s="229">
        <v>245.37317</v>
      </c>
      <c r="F48" s="229"/>
      <c r="G48" s="229"/>
      <c r="H48" s="229"/>
      <c r="I48" s="229"/>
      <c r="J48" s="229"/>
      <c r="K48" s="229"/>
      <c r="L48" s="229"/>
      <c r="M48" s="229"/>
      <c r="N48" s="229"/>
      <c r="O48" s="229"/>
      <c r="P48" s="229"/>
      <c r="Q48" s="213" t="s">
        <v>578</v>
      </c>
    </row>
    <row r="49" ht="16.5" spans="1:17">
      <c r="A49" s="249" t="s">
        <v>659</v>
      </c>
      <c r="B49" s="217" t="s">
        <v>660</v>
      </c>
      <c r="C49" s="229">
        <v>312.84298</v>
      </c>
      <c r="D49" s="229">
        <v>312.84298</v>
      </c>
      <c r="E49" s="229">
        <v>312.84298</v>
      </c>
      <c r="F49" s="229"/>
      <c r="G49" s="229"/>
      <c r="H49" s="229"/>
      <c r="I49" s="229"/>
      <c r="J49" s="229"/>
      <c r="K49" s="229"/>
      <c r="L49" s="229"/>
      <c r="M49" s="229"/>
      <c r="N49" s="229"/>
      <c r="O49" s="229"/>
      <c r="P49" s="229"/>
      <c r="Q49" s="213" t="s">
        <v>578</v>
      </c>
    </row>
    <row r="50" ht="16.5" spans="1:17">
      <c r="A50" s="249" t="s">
        <v>661</v>
      </c>
      <c r="B50" s="217" t="s">
        <v>662</v>
      </c>
      <c r="C50" s="229">
        <v>367.352562</v>
      </c>
      <c r="D50" s="229">
        <v>367.352562</v>
      </c>
      <c r="E50" s="229">
        <v>367.352562</v>
      </c>
      <c r="F50" s="229"/>
      <c r="G50" s="229"/>
      <c r="H50" s="229"/>
      <c r="I50" s="229"/>
      <c r="J50" s="229"/>
      <c r="K50" s="229"/>
      <c r="L50" s="229"/>
      <c r="M50" s="229"/>
      <c r="N50" s="229"/>
      <c r="O50" s="229"/>
      <c r="P50" s="229"/>
      <c r="Q50" s="213" t="s">
        <v>578</v>
      </c>
    </row>
    <row r="51" ht="16.5" spans="1:17">
      <c r="A51" s="250"/>
      <c r="B51" s="204" t="s">
        <v>663</v>
      </c>
      <c r="C51" s="205">
        <f t="shared" ref="C51:F51" si="2">SUM(C52:C86)</f>
        <v>164824.887863</v>
      </c>
      <c r="D51" s="205">
        <f t="shared" si="2"/>
        <v>47494.447591</v>
      </c>
      <c r="E51" s="205">
        <f t="shared" si="2"/>
        <v>46294.447591</v>
      </c>
      <c r="F51" s="205">
        <f t="shared" si="2"/>
        <v>1200</v>
      </c>
      <c r="G51" s="205"/>
      <c r="H51" s="205"/>
      <c r="I51" s="205">
        <f t="shared" ref="I51:L51" si="3">SUM(I52:I86)</f>
        <v>1200</v>
      </c>
      <c r="J51" s="205"/>
      <c r="K51" s="205">
        <f t="shared" si="3"/>
        <v>117330.440272</v>
      </c>
      <c r="L51" s="205">
        <f t="shared" si="3"/>
        <v>116345.500272</v>
      </c>
      <c r="M51" s="205"/>
      <c r="N51" s="205"/>
      <c r="O51" s="205"/>
      <c r="P51" s="205">
        <f>SUM(P52:P86)</f>
        <v>984.94</v>
      </c>
      <c r="Q51" s="213" t="s">
        <v>578</v>
      </c>
    </row>
    <row r="52" ht="16.5" spans="1:17">
      <c r="A52" s="249">
        <v>201001</v>
      </c>
      <c r="B52" s="210" t="s">
        <v>664</v>
      </c>
      <c r="C52" s="229">
        <v>8656.407926</v>
      </c>
      <c r="D52" s="229">
        <v>8656.407926</v>
      </c>
      <c r="E52" s="229">
        <v>8656.407926</v>
      </c>
      <c r="F52" s="229"/>
      <c r="G52" s="229"/>
      <c r="H52" s="229"/>
      <c r="I52" s="229"/>
      <c r="J52" s="229"/>
      <c r="K52" s="229"/>
      <c r="L52" s="229"/>
      <c r="M52" s="229"/>
      <c r="N52" s="229"/>
      <c r="O52" s="229"/>
      <c r="P52" s="229"/>
      <c r="Q52" s="213" t="s">
        <v>578</v>
      </c>
    </row>
    <row r="53" ht="16.5" spans="1:17">
      <c r="A53" s="249">
        <v>201002</v>
      </c>
      <c r="B53" s="210" t="s">
        <v>665</v>
      </c>
      <c r="C53" s="229">
        <v>245.76835</v>
      </c>
      <c r="D53" s="229">
        <v>245.76835</v>
      </c>
      <c r="E53" s="229">
        <v>245.76835</v>
      </c>
      <c r="F53" s="229"/>
      <c r="G53" s="229"/>
      <c r="H53" s="229"/>
      <c r="I53" s="229"/>
      <c r="J53" s="229"/>
      <c r="K53" s="229"/>
      <c r="L53" s="229"/>
      <c r="M53" s="229"/>
      <c r="N53" s="229"/>
      <c r="O53" s="229"/>
      <c r="P53" s="229"/>
      <c r="Q53" s="213" t="s">
        <v>578</v>
      </c>
    </row>
    <row r="54" ht="16.5" spans="1:17">
      <c r="A54" s="249">
        <v>201003</v>
      </c>
      <c r="B54" s="210" t="s">
        <v>666</v>
      </c>
      <c r="C54" s="229">
        <v>2131.479779</v>
      </c>
      <c r="D54" s="229">
        <v>2131.479779</v>
      </c>
      <c r="E54" s="229">
        <v>931.479779</v>
      </c>
      <c r="F54" s="229">
        <v>1200</v>
      </c>
      <c r="G54" s="229"/>
      <c r="H54" s="229"/>
      <c r="I54" s="229">
        <v>1200</v>
      </c>
      <c r="J54" s="229"/>
      <c r="K54" s="229"/>
      <c r="L54" s="229"/>
      <c r="M54" s="229"/>
      <c r="N54" s="229"/>
      <c r="O54" s="229"/>
      <c r="P54" s="229"/>
      <c r="Q54" s="213" t="s">
        <v>578</v>
      </c>
    </row>
    <row r="55" ht="16.5" spans="1:17">
      <c r="A55" s="249">
        <v>201004</v>
      </c>
      <c r="B55" s="210" t="s">
        <v>667</v>
      </c>
      <c r="C55" s="229">
        <v>2280.485582</v>
      </c>
      <c r="D55" s="229">
        <v>2280.485582</v>
      </c>
      <c r="E55" s="229">
        <v>2280.485582</v>
      </c>
      <c r="F55" s="229"/>
      <c r="G55" s="229"/>
      <c r="H55" s="229"/>
      <c r="I55" s="229"/>
      <c r="J55" s="229"/>
      <c r="K55" s="229"/>
      <c r="L55" s="229"/>
      <c r="M55" s="229"/>
      <c r="N55" s="229"/>
      <c r="O55" s="229"/>
      <c r="P55" s="229"/>
      <c r="Q55" s="213" t="s">
        <v>578</v>
      </c>
    </row>
    <row r="56" ht="16.5" spans="1:17">
      <c r="A56" s="249">
        <v>201005</v>
      </c>
      <c r="B56" s="210" t="s">
        <v>668</v>
      </c>
      <c r="C56" s="229">
        <v>143.143112</v>
      </c>
      <c r="D56" s="229">
        <v>143.143112</v>
      </c>
      <c r="E56" s="229">
        <v>143.143112</v>
      </c>
      <c r="F56" s="229"/>
      <c r="G56" s="229"/>
      <c r="H56" s="229"/>
      <c r="I56" s="229"/>
      <c r="J56" s="229"/>
      <c r="K56" s="229"/>
      <c r="L56" s="229"/>
      <c r="M56" s="229"/>
      <c r="N56" s="229"/>
      <c r="O56" s="229"/>
      <c r="P56" s="229"/>
      <c r="Q56" s="213" t="s">
        <v>578</v>
      </c>
    </row>
    <row r="57" ht="16.5" spans="1:17">
      <c r="A57" s="249">
        <v>202001</v>
      </c>
      <c r="B57" s="210" t="s">
        <v>669</v>
      </c>
      <c r="C57" s="229">
        <v>1567.023679</v>
      </c>
      <c r="D57" s="229">
        <v>1567.023679</v>
      </c>
      <c r="E57" s="229">
        <v>1567.023679</v>
      </c>
      <c r="F57" s="229"/>
      <c r="G57" s="229"/>
      <c r="H57" s="229"/>
      <c r="I57" s="229"/>
      <c r="J57" s="229"/>
      <c r="K57" s="229"/>
      <c r="L57" s="229"/>
      <c r="M57" s="229"/>
      <c r="N57" s="229"/>
      <c r="O57" s="229"/>
      <c r="P57" s="229"/>
      <c r="Q57" s="213" t="s">
        <v>578</v>
      </c>
    </row>
    <row r="58" ht="16.5" spans="1:17">
      <c r="A58" s="249">
        <v>203001</v>
      </c>
      <c r="B58" s="210" t="s">
        <v>670</v>
      </c>
      <c r="C58" s="229">
        <v>3321.756562</v>
      </c>
      <c r="D58" s="229">
        <v>3321.756562</v>
      </c>
      <c r="E58" s="229">
        <v>3321.756562</v>
      </c>
      <c r="F58" s="229"/>
      <c r="G58" s="229"/>
      <c r="H58" s="229"/>
      <c r="I58" s="229"/>
      <c r="J58" s="229"/>
      <c r="K58" s="229"/>
      <c r="L58" s="229"/>
      <c r="M58" s="229"/>
      <c r="N58" s="229"/>
      <c r="O58" s="229"/>
      <c r="P58" s="229"/>
      <c r="Q58" s="213" t="s">
        <v>578</v>
      </c>
    </row>
    <row r="59" ht="16.5" spans="1:17">
      <c r="A59" s="249">
        <v>204001</v>
      </c>
      <c r="B59" s="210" t="s">
        <v>671</v>
      </c>
      <c r="C59" s="229">
        <v>1775.606294</v>
      </c>
      <c r="D59" s="229">
        <v>1775.606294</v>
      </c>
      <c r="E59" s="229">
        <v>1775.606294</v>
      </c>
      <c r="F59" s="229"/>
      <c r="G59" s="229"/>
      <c r="H59" s="229"/>
      <c r="I59" s="229"/>
      <c r="J59" s="229"/>
      <c r="K59" s="229"/>
      <c r="L59" s="229"/>
      <c r="M59" s="229"/>
      <c r="N59" s="229"/>
      <c r="O59" s="229"/>
      <c r="P59" s="229"/>
      <c r="Q59" s="213" t="s">
        <v>578</v>
      </c>
    </row>
    <row r="60" ht="16.5" spans="1:17">
      <c r="A60" s="249">
        <v>204002</v>
      </c>
      <c r="B60" s="210" t="s">
        <v>672</v>
      </c>
      <c r="C60" s="229">
        <v>2716.769533</v>
      </c>
      <c r="D60" s="229">
        <v>2716.769533</v>
      </c>
      <c r="E60" s="229">
        <v>2716.769533</v>
      </c>
      <c r="F60" s="229"/>
      <c r="G60" s="229"/>
      <c r="H60" s="229"/>
      <c r="I60" s="229"/>
      <c r="J60" s="229"/>
      <c r="K60" s="229"/>
      <c r="L60" s="229"/>
      <c r="M60" s="229"/>
      <c r="N60" s="229"/>
      <c r="O60" s="229"/>
      <c r="P60" s="229"/>
      <c r="Q60" s="213" t="s">
        <v>578</v>
      </c>
    </row>
    <row r="61" ht="16.5" spans="1:17">
      <c r="A61" s="249">
        <v>204003</v>
      </c>
      <c r="B61" s="210" t="s">
        <v>673</v>
      </c>
      <c r="C61" s="229">
        <v>826.788727</v>
      </c>
      <c r="D61" s="229">
        <v>826.788727</v>
      </c>
      <c r="E61" s="229">
        <v>826.788727</v>
      </c>
      <c r="F61" s="229"/>
      <c r="G61" s="229"/>
      <c r="H61" s="229"/>
      <c r="I61" s="229"/>
      <c r="J61" s="229"/>
      <c r="K61" s="229"/>
      <c r="L61" s="229"/>
      <c r="M61" s="229"/>
      <c r="N61" s="229"/>
      <c r="O61" s="229"/>
      <c r="P61" s="229"/>
      <c r="Q61" s="213" t="s">
        <v>578</v>
      </c>
    </row>
    <row r="62" ht="16.5" spans="1:17">
      <c r="A62" s="249">
        <v>204004</v>
      </c>
      <c r="B62" s="210" t="s">
        <v>674</v>
      </c>
      <c r="C62" s="229">
        <v>645.087091</v>
      </c>
      <c r="D62" s="229">
        <v>645.087091</v>
      </c>
      <c r="E62" s="229">
        <v>645.087091</v>
      </c>
      <c r="F62" s="229"/>
      <c r="G62" s="229"/>
      <c r="H62" s="229"/>
      <c r="I62" s="229"/>
      <c r="J62" s="229"/>
      <c r="K62" s="229"/>
      <c r="L62" s="229"/>
      <c r="M62" s="229"/>
      <c r="N62" s="229"/>
      <c r="O62" s="229"/>
      <c r="P62" s="229"/>
      <c r="Q62" s="213" t="s">
        <v>578</v>
      </c>
    </row>
    <row r="63" ht="16.5" spans="1:17">
      <c r="A63" s="249">
        <v>205001</v>
      </c>
      <c r="B63" s="210" t="s">
        <v>675</v>
      </c>
      <c r="C63" s="229">
        <v>2579.280606</v>
      </c>
      <c r="D63" s="229">
        <v>2579.280606</v>
      </c>
      <c r="E63" s="229">
        <v>2579.280606</v>
      </c>
      <c r="F63" s="229"/>
      <c r="G63" s="229"/>
      <c r="H63" s="229"/>
      <c r="I63" s="229"/>
      <c r="J63" s="229"/>
      <c r="K63" s="229"/>
      <c r="L63" s="229"/>
      <c r="M63" s="229"/>
      <c r="N63" s="229"/>
      <c r="O63" s="229"/>
      <c r="P63" s="229"/>
      <c r="Q63" s="213" t="s">
        <v>578</v>
      </c>
    </row>
    <row r="64" ht="16.5" spans="1:17">
      <c r="A64" s="249">
        <v>205002</v>
      </c>
      <c r="B64" s="210" t="s">
        <v>676</v>
      </c>
      <c r="C64" s="229">
        <v>762.848585</v>
      </c>
      <c r="D64" s="229">
        <v>762.848585</v>
      </c>
      <c r="E64" s="229">
        <v>762.848585</v>
      </c>
      <c r="F64" s="229"/>
      <c r="G64" s="229"/>
      <c r="H64" s="229"/>
      <c r="I64" s="229"/>
      <c r="J64" s="229"/>
      <c r="K64" s="229"/>
      <c r="L64" s="229"/>
      <c r="M64" s="229"/>
      <c r="N64" s="229"/>
      <c r="O64" s="229"/>
      <c r="P64" s="229"/>
      <c r="Q64" s="213" t="s">
        <v>578</v>
      </c>
    </row>
    <row r="65" ht="16.5" spans="1:17">
      <c r="A65" s="249">
        <v>205003</v>
      </c>
      <c r="B65" s="210" t="s">
        <v>677</v>
      </c>
      <c r="C65" s="229">
        <v>23348.4356</v>
      </c>
      <c r="D65" s="229">
        <v>1873.5936</v>
      </c>
      <c r="E65" s="229">
        <v>1873.5936</v>
      </c>
      <c r="F65" s="229"/>
      <c r="G65" s="229"/>
      <c r="H65" s="229"/>
      <c r="I65" s="229"/>
      <c r="J65" s="229"/>
      <c r="K65" s="229">
        <v>21474.842</v>
      </c>
      <c r="L65" s="229">
        <v>21474.842</v>
      </c>
      <c r="M65" s="229"/>
      <c r="N65" s="229"/>
      <c r="O65" s="229"/>
      <c r="P65" s="229"/>
      <c r="Q65" s="213" t="s">
        <v>578</v>
      </c>
    </row>
    <row r="66" ht="16.5" spans="1:17">
      <c r="A66" s="249">
        <v>205004</v>
      </c>
      <c r="B66" s="210" t="s">
        <v>678</v>
      </c>
      <c r="C66" s="229">
        <v>11179.856857</v>
      </c>
      <c r="D66" s="229">
        <v>1219.395243</v>
      </c>
      <c r="E66" s="229">
        <v>1219.395243</v>
      </c>
      <c r="F66" s="229"/>
      <c r="G66" s="229"/>
      <c r="H66" s="229"/>
      <c r="I66" s="229"/>
      <c r="J66" s="229"/>
      <c r="K66" s="229">
        <v>9960.461614</v>
      </c>
      <c r="L66" s="229">
        <v>9960.461614</v>
      </c>
      <c r="M66" s="229"/>
      <c r="N66" s="229"/>
      <c r="O66" s="229"/>
      <c r="P66" s="229"/>
      <c r="Q66" s="213" t="s">
        <v>578</v>
      </c>
    </row>
    <row r="67" ht="16.5" spans="1:17">
      <c r="A67" s="249">
        <v>205005</v>
      </c>
      <c r="B67" s="210" t="s">
        <v>679</v>
      </c>
      <c r="C67" s="229">
        <v>538.18142</v>
      </c>
      <c r="D67" s="229">
        <v>538.18142</v>
      </c>
      <c r="E67" s="229">
        <v>538.18142</v>
      </c>
      <c r="F67" s="229"/>
      <c r="G67" s="229"/>
      <c r="H67" s="229"/>
      <c r="I67" s="229"/>
      <c r="J67" s="229"/>
      <c r="K67" s="229"/>
      <c r="L67" s="229"/>
      <c r="M67" s="229"/>
      <c r="N67" s="229"/>
      <c r="O67" s="229"/>
      <c r="P67" s="229"/>
      <c r="Q67" s="213" t="s">
        <v>578</v>
      </c>
    </row>
    <row r="68" ht="16.5" spans="1:17">
      <c r="A68" s="249">
        <v>205006</v>
      </c>
      <c r="B68" s="210" t="s">
        <v>680</v>
      </c>
      <c r="C68" s="229">
        <v>4386.304528</v>
      </c>
      <c r="D68" s="229">
        <v>1186.304528</v>
      </c>
      <c r="E68" s="229">
        <v>1186.304528</v>
      </c>
      <c r="F68" s="229"/>
      <c r="G68" s="229"/>
      <c r="H68" s="229"/>
      <c r="I68" s="229"/>
      <c r="J68" s="229"/>
      <c r="K68" s="229">
        <v>3200</v>
      </c>
      <c r="L68" s="229">
        <v>3200</v>
      </c>
      <c r="M68" s="229"/>
      <c r="N68" s="229"/>
      <c r="O68" s="229"/>
      <c r="P68" s="229"/>
      <c r="Q68" s="213" t="s">
        <v>578</v>
      </c>
    </row>
    <row r="69" ht="16.5" spans="1:17">
      <c r="A69" s="249">
        <v>205008</v>
      </c>
      <c r="B69" s="210" t="s">
        <v>681</v>
      </c>
      <c r="C69" s="229">
        <v>68303.69</v>
      </c>
      <c r="D69" s="229">
        <v>3139.415345</v>
      </c>
      <c r="E69" s="229">
        <v>3139.415345</v>
      </c>
      <c r="F69" s="229"/>
      <c r="G69" s="229"/>
      <c r="H69" s="229"/>
      <c r="I69" s="229"/>
      <c r="J69" s="229"/>
      <c r="K69" s="229">
        <v>65164.274655</v>
      </c>
      <c r="L69" s="229">
        <v>64394.274655</v>
      </c>
      <c r="M69" s="229"/>
      <c r="N69" s="229"/>
      <c r="O69" s="229"/>
      <c r="P69" s="229">
        <v>770</v>
      </c>
      <c r="Q69" s="213" t="s">
        <v>578</v>
      </c>
    </row>
    <row r="70" ht="16.5" spans="1:17">
      <c r="A70" s="249">
        <v>205009</v>
      </c>
      <c r="B70" s="210" t="s">
        <v>682</v>
      </c>
      <c r="C70" s="229">
        <v>1273.62007</v>
      </c>
      <c r="D70" s="229">
        <v>565.79007</v>
      </c>
      <c r="E70" s="229">
        <v>565.79007</v>
      </c>
      <c r="F70" s="229"/>
      <c r="G70" s="229"/>
      <c r="H70" s="229"/>
      <c r="I70" s="229"/>
      <c r="J70" s="229"/>
      <c r="K70" s="229">
        <v>707.83</v>
      </c>
      <c r="L70" s="229">
        <v>707.83</v>
      </c>
      <c r="M70" s="229"/>
      <c r="N70" s="229"/>
      <c r="O70" s="229"/>
      <c r="P70" s="229"/>
      <c r="Q70" s="213" t="s">
        <v>578</v>
      </c>
    </row>
    <row r="71" ht="16.5" spans="1:17">
      <c r="A71" s="249">
        <v>205010</v>
      </c>
      <c r="B71" s="210" t="s">
        <v>683</v>
      </c>
      <c r="C71" s="229">
        <v>1521.88</v>
      </c>
      <c r="D71" s="229">
        <v>421.160813</v>
      </c>
      <c r="E71" s="229">
        <v>421.160813</v>
      </c>
      <c r="F71" s="229"/>
      <c r="G71" s="229"/>
      <c r="H71" s="229"/>
      <c r="I71" s="229"/>
      <c r="J71" s="229"/>
      <c r="K71" s="229">
        <v>1100.719187</v>
      </c>
      <c r="L71" s="229">
        <v>1100.719187</v>
      </c>
      <c r="M71" s="229"/>
      <c r="N71" s="229"/>
      <c r="O71" s="229"/>
      <c r="P71" s="229"/>
      <c r="Q71" s="213" t="s">
        <v>578</v>
      </c>
    </row>
    <row r="72" ht="16.5" spans="1:17">
      <c r="A72" s="249">
        <v>205011</v>
      </c>
      <c r="B72" s="210" t="s">
        <v>684</v>
      </c>
      <c r="C72" s="229">
        <v>2696.76</v>
      </c>
      <c r="D72" s="229">
        <v>717.319034</v>
      </c>
      <c r="E72" s="229">
        <v>717.319034</v>
      </c>
      <c r="F72" s="229"/>
      <c r="G72" s="229"/>
      <c r="H72" s="229"/>
      <c r="I72" s="229"/>
      <c r="J72" s="229"/>
      <c r="K72" s="229">
        <v>1979.440966</v>
      </c>
      <c r="L72" s="229">
        <v>1979.440966</v>
      </c>
      <c r="M72" s="229"/>
      <c r="N72" s="229"/>
      <c r="O72" s="229"/>
      <c r="P72" s="229"/>
      <c r="Q72" s="213" t="s">
        <v>578</v>
      </c>
    </row>
    <row r="73" ht="16.5" spans="1:17">
      <c r="A73" s="249">
        <v>205012</v>
      </c>
      <c r="B73" s="210" t="s">
        <v>685</v>
      </c>
      <c r="C73" s="229">
        <v>2322.1464</v>
      </c>
      <c r="D73" s="229">
        <v>636.014182</v>
      </c>
      <c r="E73" s="229">
        <v>636.014182</v>
      </c>
      <c r="F73" s="229"/>
      <c r="G73" s="229"/>
      <c r="H73" s="229"/>
      <c r="I73" s="229"/>
      <c r="J73" s="229"/>
      <c r="K73" s="229">
        <v>1686.132218</v>
      </c>
      <c r="L73" s="229">
        <v>1686.132218</v>
      </c>
      <c r="M73" s="229"/>
      <c r="N73" s="229"/>
      <c r="O73" s="229"/>
      <c r="P73" s="229"/>
      <c r="Q73" s="213" t="s">
        <v>578</v>
      </c>
    </row>
    <row r="74" ht="16.5" spans="1:17">
      <c r="A74" s="249">
        <v>205013</v>
      </c>
      <c r="B74" s="210" t="s">
        <v>686</v>
      </c>
      <c r="C74" s="229">
        <v>1205.99514</v>
      </c>
      <c r="D74" s="229">
        <v>417.223786</v>
      </c>
      <c r="E74" s="229">
        <v>417.223786</v>
      </c>
      <c r="F74" s="229"/>
      <c r="G74" s="229"/>
      <c r="H74" s="229"/>
      <c r="I74" s="229"/>
      <c r="J74" s="229"/>
      <c r="K74" s="229">
        <v>788.771354</v>
      </c>
      <c r="L74" s="229">
        <v>788.771354</v>
      </c>
      <c r="M74" s="229"/>
      <c r="N74" s="229"/>
      <c r="O74" s="229"/>
      <c r="P74" s="229"/>
      <c r="Q74" s="213" t="s">
        <v>578</v>
      </c>
    </row>
    <row r="75" ht="16.5" spans="1:17">
      <c r="A75" s="249">
        <v>205014</v>
      </c>
      <c r="B75" s="210" t="s">
        <v>687</v>
      </c>
      <c r="C75" s="229">
        <v>1137.93</v>
      </c>
      <c r="D75" s="229">
        <v>448.758538</v>
      </c>
      <c r="E75" s="229">
        <v>448.758538</v>
      </c>
      <c r="F75" s="229"/>
      <c r="G75" s="229"/>
      <c r="H75" s="229"/>
      <c r="I75" s="229"/>
      <c r="J75" s="229"/>
      <c r="K75" s="229">
        <v>689.171462</v>
      </c>
      <c r="L75" s="229">
        <v>689.171462</v>
      </c>
      <c r="M75" s="229"/>
      <c r="N75" s="229"/>
      <c r="O75" s="229"/>
      <c r="P75" s="229"/>
      <c r="Q75" s="213" t="s">
        <v>578</v>
      </c>
    </row>
    <row r="76" ht="16.5" spans="1:17">
      <c r="A76" s="249">
        <v>205015</v>
      </c>
      <c r="B76" s="210" t="s">
        <v>688</v>
      </c>
      <c r="C76" s="229">
        <v>1281.51935</v>
      </c>
      <c r="D76" s="229">
        <v>377.67</v>
      </c>
      <c r="E76" s="229">
        <v>377.67</v>
      </c>
      <c r="F76" s="229"/>
      <c r="G76" s="229"/>
      <c r="H76" s="229"/>
      <c r="I76" s="229"/>
      <c r="J76" s="229"/>
      <c r="K76" s="229">
        <v>903.84935</v>
      </c>
      <c r="L76" s="229">
        <v>688.90935</v>
      </c>
      <c r="M76" s="229"/>
      <c r="N76" s="229"/>
      <c r="O76" s="229"/>
      <c r="P76" s="229">
        <v>214.94</v>
      </c>
      <c r="Q76" s="213" t="s">
        <v>578</v>
      </c>
    </row>
    <row r="77" ht="16.5" spans="1:17">
      <c r="A77" s="249">
        <v>205016</v>
      </c>
      <c r="B77" s="210" t="s">
        <v>689</v>
      </c>
      <c r="C77" s="229">
        <v>1398.398195</v>
      </c>
      <c r="D77" s="229">
        <v>386.035514</v>
      </c>
      <c r="E77" s="229">
        <v>386.035514</v>
      </c>
      <c r="F77" s="229"/>
      <c r="G77" s="229"/>
      <c r="H77" s="229"/>
      <c r="I77" s="229"/>
      <c r="J77" s="229"/>
      <c r="K77" s="229">
        <v>1012.362681</v>
      </c>
      <c r="L77" s="229">
        <v>1012.362681</v>
      </c>
      <c r="M77" s="229"/>
      <c r="N77" s="229"/>
      <c r="O77" s="229"/>
      <c r="P77" s="229"/>
      <c r="Q77" s="213" t="s">
        <v>578</v>
      </c>
    </row>
    <row r="78" ht="16.5" spans="1:17">
      <c r="A78" s="249">
        <v>205017</v>
      </c>
      <c r="B78" s="210" t="s">
        <v>690</v>
      </c>
      <c r="C78" s="229">
        <v>5901.003271</v>
      </c>
      <c r="D78" s="229">
        <v>1371.863082</v>
      </c>
      <c r="E78" s="229">
        <v>1371.863082</v>
      </c>
      <c r="F78" s="229"/>
      <c r="G78" s="229"/>
      <c r="H78" s="229"/>
      <c r="I78" s="229"/>
      <c r="J78" s="229"/>
      <c r="K78" s="229">
        <v>4529.140189</v>
      </c>
      <c r="L78" s="229">
        <v>4529.140189</v>
      </c>
      <c r="M78" s="229"/>
      <c r="N78" s="229"/>
      <c r="O78" s="229"/>
      <c r="P78" s="229"/>
      <c r="Q78" s="213" t="s">
        <v>578</v>
      </c>
    </row>
    <row r="79" ht="16.5" spans="1:17">
      <c r="A79" s="249">
        <v>205018</v>
      </c>
      <c r="B79" s="210" t="s">
        <v>691</v>
      </c>
      <c r="C79" s="229">
        <v>1170.846918</v>
      </c>
      <c r="D79" s="229">
        <v>385.396918</v>
      </c>
      <c r="E79" s="229">
        <v>385.396918</v>
      </c>
      <c r="F79" s="229"/>
      <c r="G79" s="229"/>
      <c r="H79" s="229"/>
      <c r="I79" s="229"/>
      <c r="J79" s="229"/>
      <c r="K79" s="229">
        <v>785.45</v>
      </c>
      <c r="L79" s="229">
        <v>785.45</v>
      </c>
      <c r="M79" s="229"/>
      <c r="N79" s="229"/>
      <c r="O79" s="229"/>
      <c r="P79" s="229"/>
      <c r="Q79" s="213" t="s">
        <v>578</v>
      </c>
    </row>
    <row r="80" ht="16.5" spans="1:17">
      <c r="A80" s="249">
        <v>205019</v>
      </c>
      <c r="B80" s="210" t="s">
        <v>692</v>
      </c>
      <c r="C80" s="229">
        <v>1335.34</v>
      </c>
      <c r="D80" s="229">
        <v>465.588374</v>
      </c>
      <c r="E80" s="229">
        <v>465.588374</v>
      </c>
      <c r="F80" s="229"/>
      <c r="G80" s="229"/>
      <c r="H80" s="229"/>
      <c r="I80" s="229"/>
      <c r="J80" s="229"/>
      <c r="K80" s="229">
        <v>869.751626</v>
      </c>
      <c r="L80" s="229">
        <v>869.751626</v>
      </c>
      <c r="M80" s="229"/>
      <c r="N80" s="229"/>
      <c r="O80" s="229"/>
      <c r="P80" s="229"/>
      <c r="Q80" s="213" t="s">
        <v>578</v>
      </c>
    </row>
    <row r="81" ht="16.5" spans="1:17">
      <c r="A81" s="249">
        <v>205020</v>
      </c>
      <c r="B81" s="210" t="s">
        <v>693</v>
      </c>
      <c r="C81" s="229">
        <v>1674.73847</v>
      </c>
      <c r="D81" s="229">
        <v>558.40917</v>
      </c>
      <c r="E81" s="229">
        <v>558.40917</v>
      </c>
      <c r="F81" s="229"/>
      <c r="G81" s="229"/>
      <c r="H81" s="229"/>
      <c r="I81" s="229"/>
      <c r="J81" s="229"/>
      <c r="K81" s="229">
        <v>1116.3293</v>
      </c>
      <c r="L81" s="229">
        <v>1116.3293</v>
      </c>
      <c r="M81" s="229"/>
      <c r="N81" s="229"/>
      <c r="O81" s="229"/>
      <c r="P81" s="229"/>
      <c r="Q81" s="213" t="s">
        <v>578</v>
      </c>
    </row>
    <row r="82" ht="16.5" spans="1:17">
      <c r="A82" s="249">
        <v>205021</v>
      </c>
      <c r="B82" s="210" t="s">
        <v>694</v>
      </c>
      <c r="C82" s="229">
        <v>1087.9804</v>
      </c>
      <c r="D82" s="229">
        <v>394.647664</v>
      </c>
      <c r="E82" s="229">
        <v>394.647664</v>
      </c>
      <c r="F82" s="229"/>
      <c r="G82" s="229"/>
      <c r="H82" s="229"/>
      <c r="I82" s="229"/>
      <c r="J82" s="229"/>
      <c r="K82" s="229">
        <v>693.332736</v>
      </c>
      <c r="L82" s="229">
        <v>693.332736</v>
      </c>
      <c r="M82" s="229"/>
      <c r="N82" s="229"/>
      <c r="O82" s="229"/>
      <c r="P82" s="229"/>
      <c r="Q82" s="213" t="s">
        <v>578</v>
      </c>
    </row>
    <row r="83" ht="16.5" spans="1:17">
      <c r="A83" s="249">
        <v>205022</v>
      </c>
      <c r="B83" s="210" t="s">
        <v>695</v>
      </c>
      <c r="C83" s="229">
        <v>98.550525</v>
      </c>
      <c r="D83" s="229">
        <v>39.130525</v>
      </c>
      <c r="E83" s="229">
        <v>39.130525</v>
      </c>
      <c r="F83" s="229"/>
      <c r="G83" s="229"/>
      <c r="H83" s="229"/>
      <c r="I83" s="229"/>
      <c r="J83" s="229"/>
      <c r="K83" s="229">
        <v>59.42</v>
      </c>
      <c r="L83" s="229">
        <v>59.42</v>
      </c>
      <c r="M83" s="229"/>
      <c r="N83" s="229"/>
      <c r="O83" s="229"/>
      <c r="P83" s="229"/>
      <c r="Q83" s="213" t="s">
        <v>578</v>
      </c>
    </row>
    <row r="84" ht="16.5" spans="1:17">
      <c r="A84" s="249">
        <v>205023</v>
      </c>
      <c r="B84" s="210" t="s">
        <v>696</v>
      </c>
      <c r="C84" s="229">
        <v>849.59</v>
      </c>
      <c r="D84" s="229">
        <v>240.429066</v>
      </c>
      <c r="E84" s="229">
        <v>240.429066</v>
      </c>
      <c r="F84" s="229"/>
      <c r="G84" s="229"/>
      <c r="H84" s="229"/>
      <c r="I84" s="229"/>
      <c r="J84" s="229"/>
      <c r="K84" s="229">
        <v>609.160934</v>
      </c>
      <c r="L84" s="229">
        <v>609.160934</v>
      </c>
      <c r="M84" s="229"/>
      <c r="N84" s="229"/>
      <c r="O84" s="229"/>
      <c r="P84" s="229"/>
      <c r="Q84" s="213" t="s">
        <v>578</v>
      </c>
    </row>
    <row r="85" ht="16.5" spans="1:17">
      <c r="A85" s="249">
        <v>206001</v>
      </c>
      <c r="B85" s="210" t="s">
        <v>697</v>
      </c>
      <c r="C85" s="229">
        <v>4320.362915</v>
      </c>
      <c r="D85" s="229">
        <v>4320.362915</v>
      </c>
      <c r="E85" s="229">
        <v>4320.362915</v>
      </c>
      <c r="F85" s="229"/>
      <c r="G85" s="229"/>
      <c r="H85" s="229"/>
      <c r="I85" s="229"/>
      <c r="J85" s="229"/>
      <c r="K85" s="229"/>
      <c r="L85" s="229"/>
      <c r="M85" s="229"/>
      <c r="N85" s="229"/>
      <c r="O85" s="229"/>
      <c r="P85" s="229"/>
      <c r="Q85" s="213" t="s">
        <v>578</v>
      </c>
    </row>
    <row r="86" ht="16.5" spans="1:17">
      <c r="A86" s="249">
        <v>207001</v>
      </c>
      <c r="B86" s="210" t="s">
        <v>698</v>
      </c>
      <c r="C86" s="229">
        <v>139.311978</v>
      </c>
      <c r="D86" s="229">
        <v>139.311978</v>
      </c>
      <c r="E86" s="229">
        <v>139.311978</v>
      </c>
      <c r="F86" s="229"/>
      <c r="G86" s="229"/>
      <c r="H86" s="229"/>
      <c r="I86" s="229"/>
      <c r="J86" s="229"/>
      <c r="K86" s="229"/>
      <c r="L86" s="229"/>
      <c r="M86" s="229"/>
      <c r="N86" s="229"/>
      <c r="O86" s="229"/>
      <c r="P86" s="229"/>
      <c r="Q86" s="213" t="s">
        <v>578</v>
      </c>
    </row>
    <row r="87" ht="16.5" spans="1:17">
      <c r="A87" s="250"/>
      <c r="B87" s="204" t="s">
        <v>699</v>
      </c>
      <c r="C87" s="205">
        <f t="shared" ref="C87:F87" si="4">SUM(C88:C105)</f>
        <v>37359.287183</v>
      </c>
      <c r="D87" s="205">
        <f t="shared" si="4"/>
        <v>37359.287183</v>
      </c>
      <c r="E87" s="205">
        <f t="shared" si="4"/>
        <v>36091.773498</v>
      </c>
      <c r="F87" s="205">
        <f t="shared" si="4"/>
        <v>1267.513685</v>
      </c>
      <c r="G87" s="205"/>
      <c r="H87" s="205"/>
      <c r="I87" s="205">
        <f>SUM(I88:I105)</f>
        <v>1267.513685</v>
      </c>
      <c r="J87" s="205"/>
      <c r="K87" s="205"/>
      <c r="L87" s="205"/>
      <c r="M87" s="205"/>
      <c r="N87" s="205"/>
      <c r="O87" s="205"/>
      <c r="P87" s="205"/>
      <c r="Q87" s="213" t="s">
        <v>578</v>
      </c>
    </row>
    <row r="88" ht="16.5" spans="1:17">
      <c r="A88" s="249">
        <v>301001</v>
      </c>
      <c r="B88" s="210" t="s">
        <v>700</v>
      </c>
      <c r="C88" s="229">
        <v>2511.691597</v>
      </c>
      <c r="D88" s="229">
        <v>2511.691597</v>
      </c>
      <c r="E88" s="229">
        <v>2511.691597</v>
      </c>
      <c r="F88" s="229"/>
      <c r="G88" s="229"/>
      <c r="H88" s="229"/>
      <c r="I88" s="229"/>
      <c r="J88" s="229"/>
      <c r="K88" s="229"/>
      <c r="L88" s="229"/>
      <c r="M88" s="229"/>
      <c r="N88" s="229"/>
      <c r="O88" s="229"/>
      <c r="P88" s="229"/>
      <c r="Q88" s="213" t="s">
        <v>578</v>
      </c>
    </row>
    <row r="89" ht="16.5" spans="1:17">
      <c r="A89" s="249">
        <v>302001</v>
      </c>
      <c r="B89" s="210" t="s">
        <v>701</v>
      </c>
      <c r="C89" s="229">
        <v>4923.084423</v>
      </c>
      <c r="D89" s="229">
        <v>4923.084423</v>
      </c>
      <c r="E89" s="229">
        <v>4673.084423</v>
      </c>
      <c r="F89" s="229">
        <v>250</v>
      </c>
      <c r="G89" s="229"/>
      <c r="H89" s="229"/>
      <c r="I89" s="229">
        <v>250</v>
      </c>
      <c r="J89" s="229"/>
      <c r="K89" s="229"/>
      <c r="L89" s="229"/>
      <c r="M89" s="229"/>
      <c r="N89" s="229"/>
      <c r="O89" s="229"/>
      <c r="P89" s="229"/>
      <c r="Q89" s="213" t="s">
        <v>578</v>
      </c>
    </row>
    <row r="90" ht="16.5" spans="1:17">
      <c r="A90" s="249">
        <v>302007</v>
      </c>
      <c r="B90" s="210" t="s">
        <v>702</v>
      </c>
      <c r="C90" s="229">
        <v>368.739681</v>
      </c>
      <c r="D90" s="229">
        <v>368.739681</v>
      </c>
      <c r="E90" s="229">
        <v>368.739681</v>
      </c>
      <c r="F90" s="229"/>
      <c r="G90" s="229"/>
      <c r="H90" s="229"/>
      <c r="I90" s="229"/>
      <c r="J90" s="229"/>
      <c r="K90" s="229"/>
      <c r="L90" s="229"/>
      <c r="M90" s="229"/>
      <c r="N90" s="229"/>
      <c r="O90" s="229"/>
      <c r="P90" s="229"/>
      <c r="Q90" s="213" t="s">
        <v>578</v>
      </c>
    </row>
    <row r="91" ht="16.5" spans="1:17">
      <c r="A91" s="249">
        <v>302008</v>
      </c>
      <c r="B91" s="210" t="s">
        <v>703</v>
      </c>
      <c r="C91" s="229">
        <v>212.1021</v>
      </c>
      <c r="D91" s="229">
        <v>212.1021</v>
      </c>
      <c r="E91" s="229"/>
      <c r="F91" s="229">
        <v>212.1021</v>
      </c>
      <c r="G91" s="229"/>
      <c r="H91" s="229"/>
      <c r="I91" s="229">
        <v>212.1021</v>
      </c>
      <c r="J91" s="229"/>
      <c r="K91" s="229"/>
      <c r="L91" s="229"/>
      <c r="M91" s="229"/>
      <c r="N91" s="229"/>
      <c r="O91" s="229"/>
      <c r="P91" s="229"/>
      <c r="Q91" s="213" t="s">
        <v>578</v>
      </c>
    </row>
    <row r="92" ht="16.5" spans="1:17">
      <c r="A92" s="249">
        <v>303001</v>
      </c>
      <c r="B92" s="210" t="s">
        <v>704</v>
      </c>
      <c r="C92" s="229">
        <v>10238.429154</v>
      </c>
      <c r="D92" s="229">
        <v>10238.429154</v>
      </c>
      <c r="E92" s="229">
        <v>10238.429154</v>
      </c>
      <c r="F92" s="229"/>
      <c r="G92" s="229"/>
      <c r="H92" s="229"/>
      <c r="I92" s="229"/>
      <c r="J92" s="229"/>
      <c r="K92" s="229"/>
      <c r="L92" s="229"/>
      <c r="M92" s="229"/>
      <c r="N92" s="229"/>
      <c r="O92" s="229"/>
      <c r="P92" s="229"/>
      <c r="Q92" s="213" t="s">
        <v>578</v>
      </c>
    </row>
    <row r="93" ht="16.5" spans="1:17">
      <c r="A93" s="249">
        <v>303002</v>
      </c>
      <c r="B93" s="210" t="s">
        <v>705</v>
      </c>
      <c r="C93" s="229">
        <v>1292.129373</v>
      </c>
      <c r="D93" s="229">
        <v>1292.129373</v>
      </c>
      <c r="E93" s="229">
        <v>1292.129373</v>
      </c>
      <c r="F93" s="229"/>
      <c r="G93" s="229"/>
      <c r="H93" s="229"/>
      <c r="I93" s="229"/>
      <c r="J93" s="229"/>
      <c r="K93" s="229"/>
      <c r="L93" s="229"/>
      <c r="M93" s="229"/>
      <c r="N93" s="229"/>
      <c r="O93" s="229"/>
      <c r="P93" s="229"/>
      <c r="Q93" s="213" t="s">
        <v>578</v>
      </c>
    </row>
    <row r="94" ht="16.5" spans="1:17">
      <c r="A94" s="249">
        <v>303003</v>
      </c>
      <c r="B94" s="210" t="s">
        <v>706</v>
      </c>
      <c r="C94" s="229">
        <v>771.393407</v>
      </c>
      <c r="D94" s="229">
        <v>771.393407</v>
      </c>
      <c r="E94" s="229">
        <v>771.393407</v>
      </c>
      <c r="F94" s="229"/>
      <c r="G94" s="229"/>
      <c r="H94" s="229"/>
      <c r="I94" s="229"/>
      <c r="J94" s="229"/>
      <c r="K94" s="229"/>
      <c r="L94" s="229"/>
      <c r="M94" s="229"/>
      <c r="N94" s="229"/>
      <c r="O94" s="229"/>
      <c r="P94" s="229"/>
      <c r="Q94" s="213" t="s">
        <v>578</v>
      </c>
    </row>
    <row r="95" ht="16.5" spans="1:17">
      <c r="A95" s="249">
        <v>303004</v>
      </c>
      <c r="B95" s="210" t="s">
        <v>707</v>
      </c>
      <c r="C95" s="229">
        <v>139.970963</v>
      </c>
      <c r="D95" s="229">
        <v>139.970963</v>
      </c>
      <c r="E95" s="229">
        <v>120.559378</v>
      </c>
      <c r="F95" s="229">
        <v>19.411585</v>
      </c>
      <c r="G95" s="229"/>
      <c r="H95" s="229"/>
      <c r="I95" s="229">
        <v>19.411585</v>
      </c>
      <c r="J95" s="229"/>
      <c r="K95" s="229"/>
      <c r="L95" s="229"/>
      <c r="M95" s="229"/>
      <c r="N95" s="229"/>
      <c r="O95" s="229"/>
      <c r="P95" s="229"/>
      <c r="Q95" s="213" t="s">
        <v>578</v>
      </c>
    </row>
    <row r="96" ht="16.5" spans="1:17">
      <c r="A96" s="249">
        <v>303005</v>
      </c>
      <c r="B96" s="210" t="s">
        <v>708</v>
      </c>
      <c r="C96" s="229">
        <v>1042.332064</v>
      </c>
      <c r="D96" s="229">
        <v>1042.332064</v>
      </c>
      <c r="E96" s="229">
        <v>1042.332064</v>
      </c>
      <c r="F96" s="229"/>
      <c r="G96" s="229"/>
      <c r="H96" s="229"/>
      <c r="I96" s="229"/>
      <c r="J96" s="229"/>
      <c r="K96" s="229"/>
      <c r="L96" s="229"/>
      <c r="M96" s="229"/>
      <c r="N96" s="229"/>
      <c r="O96" s="229"/>
      <c r="P96" s="229"/>
      <c r="Q96" s="213" t="s">
        <v>578</v>
      </c>
    </row>
    <row r="97" ht="16.5" spans="1:17">
      <c r="A97" s="249">
        <v>303006</v>
      </c>
      <c r="B97" s="210" t="s">
        <v>709</v>
      </c>
      <c r="C97" s="229">
        <v>1656.48391</v>
      </c>
      <c r="D97" s="229">
        <v>1656.48391</v>
      </c>
      <c r="E97" s="229">
        <v>1656.48391</v>
      </c>
      <c r="F97" s="229"/>
      <c r="G97" s="229"/>
      <c r="H97" s="229"/>
      <c r="I97" s="229"/>
      <c r="J97" s="229"/>
      <c r="K97" s="229"/>
      <c r="L97" s="229"/>
      <c r="M97" s="229"/>
      <c r="N97" s="229"/>
      <c r="O97" s="229"/>
      <c r="P97" s="229"/>
      <c r="Q97" s="213" t="s">
        <v>578</v>
      </c>
    </row>
    <row r="98" ht="16.5" spans="1:17">
      <c r="A98" s="249">
        <v>304001</v>
      </c>
      <c r="B98" s="210" t="s">
        <v>710</v>
      </c>
      <c r="C98" s="229">
        <v>713.705826</v>
      </c>
      <c r="D98" s="229">
        <v>713.705826</v>
      </c>
      <c r="E98" s="229">
        <v>713.705826</v>
      </c>
      <c r="F98" s="229"/>
      <c r="G98" s="229"/>
      <c r="H98" s="229"/>
      <c r="I98" s="229"/>
      <c r="J98" s="229"/>
      <c r="K98" s="229"/>
      <c r="L98" s="229"/>
      <c r="M98" s="229"/>
      <c r="N98" s="229"/>
      <c r="O98" s="229"/>
      <c r="P98" s="229"/>
      <c r="Q98" s="213" t="s">
        <v>578</v>
      </c>
    </row>
    <row r="99" ht="16.5" spans="1:17">
      <c r="A99" s="249">
        <v>304002</v>
      </c>
      <c r="B99" s="210" t="s">
        <v>711</v>
      </c>
      <c r="C99" s="229">
        <v>3282.178172</v>
      </c>
      <c r="D99" s="229">
        <v>3282.178172</v>
      </c>
      <c r="E99" s="229">
        <v>3100.178172</v>
      </c>
      <c r="F99" s="229">
        <v>182</v>
      </c>
      <c r="G99" s="229"/>
      <c r="H99" s="229"/>
      <c r="I99" s="229">
        <v>182</v>
      </c>
      <c r="J99" s="229"/>
      <c r="K99" s="229"/>
      <c r="L99" s="229"/>
      <c r="M99" s="229"/>
      <c r="N99" s="229"/>
      <c r="O99" s="229"/>
      <c r="P99" s="229"/>
      <c r="Q99" s="213" t="s">
        <v>578</v>
      </c>
    </row>
    <row r="100" ht="16.5" spans="1:17">
      <c r="A100" s="249">
        <v>304003</v>
      </c>
      <c r="B100" s="210" t="s">
        <v>712</v>
      </c>
      <c r="C100" s="229">
        <v>759.80127</v>
      </c>
      <c r="D100" s="229">
        <v>759.80127</v>
      </c>
      <c r="E100" s="229">
        <v>759.80127</v>
      </c>
      <c r="F100" s="229"/>
      <c r="G100" s="229"/>
      <c r="H100" s="229"/>
      <c r="I100" s="229"/>
      <c r="J100" s="229"/>
      <c r="K100" s="229"/>
      <c r="L100" s="229"/>
      <c r="M100" s="229"/>
      <c r="N100" s="229"/>
      <c r="O100" s="229"/>
      <c r="P100" s="229"/>
      <c r="Q100" s="213" t="s">
        <v>578</v>
      </c>
    </row>
    <row r="101" ht="16.5" spans="1:17">
      <c r="A101" s="249">
        <v>304006</v>
      </c>
      <c r="B101" s="210" t="s">
        <v>713</v>
      </c>
      <c r="C101" s="229">
        <v>1900.757813</v>
      </c>
      <c r="D101" s="229">
        <v>1900.757813</v>
      </c>
      <c r="E101" s="229">
        <v>1419.757813</v>
      </c>
      <c r="F101" s="229">
        <v>481</v>
      </c>
      <c r="G101" s="229"/>
      <c r="H101" s="229"/>
      <c r="I101" s="229">
        <v>481</v>
      </c>
      <c r="J101" s="229"/>
      <c r="K101" s="229"/>
      <c r="L101" s="229"/>
      <c r="M101" s="229"/>
      <c r="N101" s="229"/>
      <c r="O101" s="229"/>
      <c r="P101" s="229"/>
      <c r="Q101" s="213" t="s">
        <v>578</v>
      </c>
    </row>
    <row r="102" ht="16.5" spans="1:17">
      <c r="A102" s="249">
        <v>304008</v>
      </c>
      <c r="B102" s="210" t="s">
        <v>714</v>
      </c>
      <c r="C102" s="229">
        <v>533.796521</v>
      </c>
      <c r="D102" s="229">
        <v>533.796521</v>
      </c>
      <c r="E102" s="229">
        <v>533.796521</v>
      </c>
      <c r="F102" s="229"/>
      <c r="G102" s="229"/>
      <c r="H102" s="229"/>
      <c r="I102" s="229"/>
      <c r="J102" s="229"/>
      <c r="K102" s="229"/>
      <c r="L102" s="229"/>
      <c r="M102" s="229"/>
      <c r="N102" s="229"/>
      <c r="O102" s="229"/>
      <c r="P102" s="229"/>
      <c r="Q102" s="213" t="s">
        <v>578</v>
      </c>
    </row>
    <row r="103" ht="16.5" spans="1:17">
      <c r="A103" s="249">
        <v>305001</v>
      </c>
      <c r="B103" s="217" t="s">
        <v>715</v>
      </c>
      <c r="C103" s="229">
        <v>4094.315689</v>
      </c>
      <c r="D103" s="229">
        <v>4094.315689</v>
      </c>
      <c r="E103" s="229">
        <v>4094.315689</v>
      </c>
      <c r="F103" s="229"/>
      <c r="G103" s="229"/>
      <c r="H103" s="229"/>
      <c r="I103" s="229"/>
      <c r="J103" s="229"/>
      <c r="K103" s="229"/>
      <c r="L103" s="229"/>
      <c r="M103" s="229"/>
      <c r="N103" s="229"/>
      <c r="O103" s="229"/>
      <c r="P103" s="229"/>
      <c r="Q103" s="213" t="s">
        <v>578</v>
      </c>
    </row>
    <row r="104" ht="16.5" spans="1:17">
      <c r="A104" s="249">
        <v>306001</v>
      </c>
      <c r="B104" s="210" t="s">
        <v>716</v>
      </c>
      <c r="C104" s="229">
        <v>652.514293</v>
      </c>
      <c r="D104" s="229">
        <v>652.514293</v>
      </c>
      <c r="E104" s="229">
        <v>652.514293</v>
      </c>
      <c r="F104" s="229"/>
      <c r="G104" s="229"/>
      <c r="H104" s="229"/>
      <c r="I104" s="229"/>
      <c r="J104" s="229"/>
      <c r="K104" s="229"/>
      <c r="L104" s="229"/>
      <c r="M104" s="229"/>
      <c r="N104" s="229"/>
      <c r="O104" s="229"/>
      <c r="P104" s="229"/>
      <c r="Q104" s="213" t="s">
        <v>578</v>
      </c>
    </row>
    <row r="105" ht="16.5" spans="1:17">
      <c r="A105" s="249">
        <v>307001</v>
      </c>
      <c r="B105" s="210" t="s">
        <v>717</v>
      </c>
      <c r="C105" s="229">
        <v>2265.860927</v>
      </c>
      <c r="D105" s="229">
        <v>2265.860927</v>
      </c>
      <c r="E105" s="229">
        <v>2142.860927</v>
      </c>
      <c r="F105" s="229">
        <v>123</v>
      </c>
      <c r="G105" s="229"/>
      <c r="H105" s="229"/>
      <c r="I105" s="229">
        <v>123</v>
      </c>
      <c r="J105" s="229"/>
      <c r="K105" s="229"/>
      <c r="L105" s="229"/>
      <c r="M105" s="229"/>
      <c r="N105" s="229"/>
      <c r="O105" s="229"/>
      <c r="P105" s="229"/>
      <c r="Q105" s="213" t="s">
        <v>578</v>
      </c>
    </row>
    <row r="106" ht="16.5" spans="1:17">
      <c r="A106" s="250"/>
      <c r="B106" s="204" t="s">
        <v>718</v>
      </c>
      <c r="C106" s="205">
        <f>SUM(C107:C110)</f>
        <v>13121.080681</v>
      </c>
      <c r="D106" s="205">
        <f>SUM(D107:D110)</f>
        <v>13121.080681</v>
      </c>
      <c r="E106" s="205">
        <f>SUM(E107:E110)</f>
        <v>13121.080681</v>
      </c>
      <c r="F106" s="205"/>
      <c r="G106" s="205"/>
      <c r="H106" s="205"/>
      <c r="I106" s="205"/>
      <c r="J106" s="205"/>
      <c r="K106" s="205"/>
      <c r="L106" s="205"/>
      <c r="M106" s="205"/>
      <c r="N106" s="205"/>
      <c r="O106" s="205"/>
      <c r="P106" s="205"/>
      <c r="Q106" s="213" t="s">
        <v>578</v>
      </c>
    </row>
    <row r="107" ht="16.5" spans="1:17">
      <c r="A107" s="249" t="s">
        <v>719</v>
      </c>
      <c r="B107" s="254" t="s">
        <v>720</v>
      </c>
      <c r="C107" s="229">
        <v>12694.24997</v>
      </c>
      <c r="D107" s="229">
        <v>12694.24997</v>
      </c>
      <c r="E107" s="229">
        <v>12694.24997</v>
      </c>
      <c r="F107" s="229"/>
      <c r="G107" s="229"/>
      <c r="H107" s="229"/>
      <c r="I107" s="229"/>
      <c r="J107" s="229"/>
      <c r="K107" s="229"/>
      <c r="L107" s="229"/>
      <c r="M107" s="229"/>
      <c r="N107" s="229"/>
      <c r="O107" s="229"/>
      <c r="P107" s="229"/>
      <c r="Q107" s="213" t="s">
        <v>578</v>
      </c>
    </row>
    <row r="108" ht="16.5" spans="1:17">
      <c r="A108" s="249" t="s">
        <v>721</v>
      </c>
      <c r="B108" s="254" t="s">
        <v>722</v>
      </c>
      <c r="C108" s="229">
        <v>50</v>
      </c>
      <c r="D108" s="229">
        <v>50</v>
      </c>
      <c r="E108" s="229">
        <v>50</v>
      </c>
      <c r="F108" s="229"/>
      <c r="G108" s="229"/>
      <c r="H108" s="229"/>
      <c r="I108" s="229"/>
      <c r="J108" s="229"/>
      <c r="K108" s="229"/>
      <c r="L108" s="229"/>
      <c r="M108" s="229"/>
      <c r="N108" s="229"/>
      <c r="O108" s="229"/>
      <c r="P108" s="229"/>
      <c r="Q108" s="213" t="s">
        <v>578</v>
      </c>
    </row>
    <row r="109" ht="16.5" spans="1:17">
      <c r="A109" s="249" t="s">
        <v>723</v>
      </c>
      <c r="B109" s="254" t="s">
        <v>724</v>
      </c>
      <c r="C109" s="229">
        <v>175.39</v>
      </c>
      <c r="D109" s="229">
        <v>175.39</v>
      </c>
      <c r="E109" s="229">
        <v>175.39</v>
      </c>
      <c r="F109" s="229"/>
      <c r="G109" s="229"/>
      <c r="H109" s="229"/>
      <c r="I109" s="229"/>
      <c r="J109" s="229"/>
      <c r="K109" s="229"/>
      <c r="L109" s="229"/>
      <c r="M109" s="229"/>
      <c r="N109" s="229"/>
      <c r="O109" s="229"/>
      <c r="P109" s="229"/>
      <c r="Q109" s="213" t="s">
        <v>578</v>
      </c>
    </row>
    <row r="110" ht="16.5" spans="1:17">
      <c r="A110" s="249" t="s">
        <v>725</v>
      </c>
      <c r="B110" s="217" t="s">
        <v>726</v>
      </c>
      <c r="C110" s="229">
        <v>201.440711</v>
      </c>
      <c r="D110" s="229">
        <v>201.440711</v>
      </c>
      <c r="E110" s="229">
        <v>201.440711</v>
      </c>
      <c r="F110" s="229"/>
      <c r="G110" s="229"/>
      <c r="H110" s="229"/>
      <c r="I110" s="229"/>
      <c r="J110" s="229"/>
      <c r="K110" s="229"/>
      <c r="L110" s="229"/>
      <c r="M110" s="229"/>
      <c r="N110" s="229"/>
      <c r="O110" s="229"/>
      <c r="P110" s="229"/>
      <c r="Q110" s="213" t="s">
        <v>578</v>
      </c>
    </row>
    <row r="111" ht="16.5" spans="1:17">
      <c r="A111" s="250"/>
      <c r="B111" s="204" t="s">
        <v>727</v>
      </c>
      <c r="C111" s="205">
        <f t="shared" ref="C111:F111" si="5">SUM(C112:C119)</f>
        <v>7533.996939</v>
      </c>
      <c r="D111" s="205">
        <f t="shared" si="5"/>
        <v>7533.996939</v>
      </c>
      <c r="E111" s="205">
        <f t="shared" si="5"/>
        <v>6989.994169</v>
      </c>
      <c r="F111" s="205">
        <f t="shared" si="5"/>
        <v>544.00277</v>
      </c>
      <c r="G111" s="205"/>
      <c r="H111" s="205"/>
      <c r="I111" s="205">
        <f>SUM(I112:I119)</f>
        <v>544.00277</v>
      </c>
      <c r="J111" s="205"/>
      <c r="K111" s="205"/>
      <c r="L111" s="205"/>
      <c r="M111" s="205"/>
      <c r="N111" s="205"/>
      <c r="O111" s="205"/>
      <c r="P111" s="205"/>
      <c r="Q111" s="213" t="s">
        <v>578</v>
      </c>
    </row>
    <row r="112" ht="16.5" spans="1:17">
      <c r="A112" s="249">
        <v>501001</v>
      </c>
      <c r="B112" s="210" t="s">
        <v>728</v>
      </c>
      <c r="C112" s="229">
        <v>522.720461</v>
      </c>
      <c r="D112" s="229">
        <v>522.720461</v>
      </c>
      <c r="E112" s="229">
        <v>522.720461</v>
      </c>
      <c r="F112" s="229"/>
      <c r="G112" s="229"/>
      <c r="H112" s="229"/>
      <c r="I112" s="229"/>
      <c r="J112" s="229"/>
      <c r="K112" s="229"/>
      <c r="L112" s="229"/>
      <c r="M112" s="229"/>
      <c r="N112" s="229"/>
      <c r="O112" s="229"/>
      <c r="P112" s="229"/>
      <c r="Q112" s="213" t="s">
        <v>578</v>
      </c>
    </row>
    <row r="113" ht="16.5" spans="1:17">
      <c r="A113" s="249">
        <v>501002</v>
      </c>
      <c r="B113" s="210" t="s">
        <v>729</v>
      </c>
      <c r="C113" s="229">
        <v>376.77459</v>
      </c>
      <c r="D113" s="229">
        <v>376.77459</v>
      </c>
      <c r="E113" s="229">
        <v>376.77459</v>
      </c>
      <c r="F113" s="229"/>
      <c r="G113" s="229"/>
      <c r="H113" s="229"/>
      <c r="I113" s="229"/>
      <c r="J113" s="229"/>
      <c r="K113" s="229"/>
      <c r="L113" s="229"/>
      <c r="M113" s="229"/>
      <c r="N113" s="229"/>
      <c r="O113" s="229"/>
      <c r="P113" s="229"/>
      <c r="Q113" s="213" t="s">
        <v>578</v>
      </c>
    </row>
    <row r="114" ht="16.5" spans="1:17">
      <c r="A114" s="249">
        <v>501003</v>
      </c>
      <c r="B114" s="210" t="s">
        <v>730</v>
      </c>
      <c r="C114" s="229">
        <v>544.00277</v>
      </c>
      <c r="D114" s="229">
        <v>544.00277</v>
      </c>
      <c r="E114" s="229"/>
      <c r="F114" s="229">
        <v>544.00277</v>
      </c>
      <c r="G114" s="229"/>
      <c r="H114" s="229"/>
      <c r="I114" s="229">
        <v>544.00277</v>
      </c>
      <c r="J114" s="229"/>
      <c r="K114" s="229"/>
      <c r="L114" s="229"/>
      <c r="M114" s="229"/>
      <c r="N114" s="229"/>
      <c r="O114" s="229"/>
      <c r="P114" s="229"/>
      <c r="Q114" s="213" t="s">
        <v>578</v>
      </c>
    </row>
    <row r="115" ht="16.5" spans="1:17">
      <c r="A115" s="249">
        <v>502001</v>
      </c>
      <c r="B115" s="210" t="s">
        <v>731</v>
      </c>
      <c r="C115" s="229">
        <v>463.959602</v>
      </c>
      <c r="D115" s="229">
        <v>463.959602</v>
      </c>
      <c r="E115" s="229">
        <v>463.959602</v>
      </c>
      <c r="F115" s="229"/>
      <c r="G115" s="229"/>
      <c r="H115" s="229"/>
      <c r="I115" s="229"/>
      <c r="J115" s="229"/>
      <c r="K115" s="229"/>
      <c r="L115" s="229"/>
      <c r="M115" s="229"/>
      <c r="N115" s="229"/>
      <c r="O115" s="229"/>
      <c r="P115" s="229"/>
      <c r="Q115" s="213" t="s">
        <v>578</v>
      </c>
    </row>
    <row r="116" ht="16.5" spans="1:17">
      <c r="A116" s="249">
        <v>503001</v>
      </c>
      <c r="B116" s="210" t="s">
        <v>732</v>
      </c>
      <c r="C116" s="229">
        <v>1024.967907</v>
      </c>
      <c r="D116" s="229">
        <v>1024.967907</v>
      </c>
      <c r="E116" s="229">
        <v>1024.967907</v>
      </c>
      <c r="F116" s="229"/>
      <c r="G116" s="229"/>
      <c r="H116" s="229"/>
      <c r="I116" s="229"/>
      <c r="J116" s="229"/>
      <c r="K116" s="229"/>
      <c r="L116" s="229"/>
      <c r="M116" s="229"/>
      <c r="N116" s="229"/>
      <c r="O116" s="229"/>
      <c r="P116" s="229"/>
      <c r="Q116" s="213" t="s">
        <v>578</v>
      </c>
    </row>
    <row r="117" ht="16.5" spans="1:17">
      <c r="A117" s="249">
        <v>504001</v>
      </c>
      <c r="B117" s="210" t="s">
        <v>733</v>
      </c>
      <c r="C117" s="229">
        <v>993.673988</v>
      </c>
      <c r="D117" s="229">
        <v>993.673988</v>
      </c>
      <c r="E117" s="229">
        <v>993.673988</v>
      </c>
      <c r="F117" s="229"/>
      <c r="G117" s="229"/>
      <c r="H117" s="229"/>
      <c r="I117" s="229"/>
      <c r="J117" s="229"/>
      <c r="K117" s="229"/>
      <c r="L117" s="229"/>
      <c r="M117" s="229"/>
      <c r="N117" s="229"/>
      <c r="O117" s="229"/>
      <c r="P117" s="229"/>
      <c r="Q117" s="213" t="s">
        <v>578</v>
      </c>
    </row>
    <row r="118" ht="16.5" spans="1:17">
      <c r="A118" s="249">
        <v>505001</v>
      </c>
      <c r="B118" s="210" t="s">
        <v>734</v>
      </c>
      <c r="C118" s="229">
        <v>3122.682394</v>
      </c>
      <c r="D118" s="229">
        <v>3122.682394</v>
      </c>
      <c r="E118" s="229">
        <v>3122.682394</v>
      </c>
      <c r="F118" s="229"/>
      <c r="G118" s="229"/>
      <c r="H118" s="229"/>
      <c r="I118" s="229"/>
      <c r="J118" s="229"/>
      <c r="K118" s="229"/>
      <c r="L118" s="229"/>
      <c r="M118" s="229"/>
      <c r="N118" s="229"/>
      <c r="O118" s="229"/>
      <c r="P118" s="229"/>
      <c r="Q118" s="213" t="s">
        <v>578</v>
      </c>
    </row>
    <row r="119" ht="16.5" spans="1:17">
      <c r="A119" s="249">
        <v>505002</v>
      </c>
      <c r="B119" s="210" t="s">
        <v>735</v>
      </c>
      <c r="C119" s="229">
        <v>485.215227</v>
      </c>
      <c r="D119" s="229">
        <v>485.215227</v>
      </c>
      <c r="E119" s="229">
        <v>485.215227</v>
      </c>
      <c r="F119" s="229"/>
      <c r="G119" s="229"/>
      <c r="H119" s="229"/>
      <c r="I119" s="229"/>
      <c r="J119" s="229"/>
      <c r="K119" s="229"/>
      <c r="L119" s="229"/>
      <c r="M119" s="229"/>
      <c r="N119" s="229"/>
      <c r="O119" s="229"/>
      <c r="P119" s="229"/>
      <c r="Q119" s="213" t="s">
        <v>578</v>
      </c>
    </row>
    <row r="120" ht="16.5" spans="1:17">
      <c r="A120" s="250"/>
      <c r="B120" s="204" t="s">
        <v>736</v>
      </c>
      <c r="C120" s="205">
        <f t="shared" ref="C120:F120" si="6">SUM(C121:C187)</f>
        <v>153087.46939</v>
      </c>
      <c r="D120" s="205">
        <f t="shared" si="6"/>
        <v>148869.46939</v>
      </c>
      <c r="E120" s="205">
        <f t="shared" si="6"/>
        <v>145332.92299</v>
      </c>
      <c r="F120" s="205">
        <f t="shared" si="6"/>
        <v>3536.5464</v>
      </c>
      <c r="G120" s="205"/>
      <c r="H120" s="205">
        <f t="shared" ref="H120:J120" si="7">SUM(H121:H187)</f>
        <v>653.45</v>
      </c>
      <c r="I120" s="205">
        <f t="shared" si="7"/>
        <v>2883.0964</v>
      </c>
      <c r="J120" s="205">
        <f t="shared" si="7"/>
        <v>4218</v>
      </c>
      <c r="K120" s="205"/>
      <c r="L120" s="205"/>
      <c r="M120" s="205"/>
      <c r="N120" s="205"/>
      <c r="O120" s="205"/>
      <c r="P120" s="205"/>
      <c r="Q120" s="213" t="s">
        <v>578</v>
      </c>
    </row>
    <row r="121" ht="16.5" spans="1:17">
      <c r="A121" s="249">
        <v>601001</v>
      </c>
      <c r="B121" s="210" t="s">
        <v>737</v>
      </c>
      <c r="C121" s="229">
        <v>383.315409</v>
      </c>
      <c r="D121" s="229">
        <v>383.315409</v>
      </c>
      <c r="E121" s="229">
        <v>383.315409</v>
      </c>
      <c r="F121" s="229"/>
      <c r="G121" s="229"/>
      <c r="H121" s="229"/>
      <c r="I121" s="229"/>
      <c r="J121" s="229"/>
      <c r="K121" s="229"/>
      <c r="L121" s="229"/>
      <c r="M121" s="229"/>
      <c r="N121" s="229"/>
      <c r="O121" s="229"/>
      <c r="P121" s="229"/>
      <c r="Q121" s="213" t="s">
        <v>578</v>
      </c>
    </row>
    <row r="122" ht="16.5" spans="1:17">
      <c r="A122" s="249">
        <v>602001</v>
      </c>
      <c r="B122" s="210" t="s">
        <v>738</v>
      </c>
      <c r="C122" s="229">
        <v>2125.557169</v>
      </c>
      <c r="D122" s="229">
        <v>2125.557169</v>
      </c>
      <c r="E122" s="229">
        <v>2125.557169</v>
      </c>
      <c r="F122" s="229"/>
      <c r="G122" s="229"/>
      <c r="H122" s="229"/>
      <c r="I122" s="229"/>
      <c r="J122" s="229"/>
      <c r="K122" s="229"/>
      <c r="L122" s="229"/>
      <c r="M122" s="229"/>
      <c r="N122" s="229"/>
      <c r="O122" s="229"/>
      <c r="P122" s="229"/>
      <c r="Q122" s="213" t="s">
        <v>578</v>
      </c>
    </row>
    <row r="123" ht="16.5" spans="1:17">
      <c r="A123" s="249">
        <v>602002</v>
      </c>
      <c r="B123" s="254" t="s">
        <v>739</v>
      </c>
      <c r="C123" s="229">
        <v>388.358238</v>
      </c>
      <c r="D123" s="229">
        <v>388.358238</v>
      </c>
      <c r="E123" s="229">
        <v>388.358238</v>
      </c>
      <c r="F123" s="229"/>
      <c r="G123" s="229"/>
      <c r="H123" s="229"/>
      <c r="I123" s="229"/>
      <c r="J123" s="229"/>
      <c r="K123" s="229"/>
      <c r="L123" s="229"/>
      <c r="M123" s="229"/>
      <c r="N123" s="229"/>
      <c r="O123" s="229"/>
      <c r="P123" s="229"/>
      <c r="Q123" s="213" t="s">
        <v>578</v>
      </c>
    </row>
    <row r="124" ht="16.5" spans="1:17">
      <c r="A124" s="249">
        <v>602003</v>
      </c>
      <c r="B124" s="210" t="s">
        <v>740</v>
      </c>
      <c r="C124" s="229">
        <v>428.270902</v>
      </c>
      <c r="D124" s="229">
        <v>428.270902</v>
      </c>
      <c r="E124" s="229">
        <v>428.270902</v>
      </c>
      <c r="F124" s="229"/>
      <c r="G124" s="229"/>
      <c r="H124" s="229"/>
      <c r="I124" s="229"/>
      <c r="J124" s="229"/>
      <c r="K124" s="229"/>
      <c r="L124" s="229"/>
      <c r="M124" s="229"/>
      <c r="N124" s="229"/>
      <c r="O124" s="229"/>
      <c r="P124" s="229"/>
      <c r="Q124" s="213" t="s">
        <v>578</v>
      </c>
    </row>
    <row r="125" ht="16.5" spans="1:17">
      <c r="A125" s="249">
        <v>602004</v>
      </c>
      <c r="B125" s="217" t="s">
        <v>741</v>
      </c>
      <c r="C125" s="229">
        <v>141.67911</v>
      </c>
      <c r="D125" s="229">
        <v>141.67911</v>
      </c>
      <c r="E125" s="229">
        <v>141.67911</v>
      </c>
      <c r="F125" s="229"/>
      <c r="G125" s="229"/>
      <c r="H125" s="229"/>
      <c r="I125" s="229"/>
      <c r="J125" s="229"/>
      <c r="K125" s="229"/>
      <c r="L125" s="229"/>
      <c r="M125" s="229"/>
      <c r="N125" s="229"/>
      <c r="O125" s="229"/>
      <c r="P125" s="229"/>
      <c r="Q125" s="213" t="s">
        <v>578</v>
      </c>
    </row>
    <row r="126" ht="16.5" spans="1:17">
      <c r="A126" s="249">
        <v>602005</v>
      </c>
      <c r="B126" s="210" t="s">
        <v>742</v>
      </c>
      <c r="C126" s="229">
        <v>390.393842</v>
      </c>
      <c r="D126" s="229">
        <v>390.393842</v>
      </c>
      <c r="E126" s="229">
        <v>390.393842</v>
      </c>
      <c r="F126" s="229"/>
      <c r="G126" s="229"/>
      <c r="H126" s="229"/>
      <c r="I126" s="229"/>
      <c r="J126" s="229"/>
      <c r="K126" s="229"/>
      <c r="L126" s="229"/>
      <c r="M126" s="229"/>
      <c r="N126" s="229"/>
      <c r="O126" s="229"/>
      <c r="P126" s="229"/>
      <c r="Q126" s="213" t="s">
        <v>578</v>
      </c>
    </row>
    <row r="127" ht="16.5" spans="1:17">
      <c r="A127" s="249">
        <v>602006</v>
      </c>
      <c r="B127" s="210" t="s">
        <v>743</v>
      </c>
      <c r="C127" s="229">
        <v>1043.509753</v>
      </c>
      <c r="D127" s="229">
        <v>1043.509753</v>
      </c>
      <c r="E127" s="229">
        <v>768.130353</v>
      </c>
      <c r="F127" s="229">
        <v>275.3794</v>
      </c>
      <c r="G127" s="229"/>
      <c r="H127" s="229"/>
      <c r="I127" s="229">
        <v>275.3794</v>
      </c>
      <c r="J127" s="229"/>
      <c r="K127" s="229"/>
      <c r="L127" s="229"/>
      <c r="M127" s="229"/>
      <c r="N127" s="229"/>
      <c r="O127" s="229"/>
      <c r="P127" s="229"/>
      <c r="Q127" s="213" t="s">
        <v>578</v>
      </c>
    </row>
    <row r="128" ht="16.5" spans="1:17">
      <c r="A128" s="249">
        <v>602007</v>
      </c>
      <c r="B128" s="210" t="s">
        <v>744</v>
      </c>
      <c r="C128" s="229">
        <v>173.591753</v>
      </c>
      <c r="D128" s="229">
        <v>173.591753</v>
      </c>
      <c r="E128" s="229">
        <v>173.591753</v>
      </c>
      <c r="F128" s="229"/>
      <c r="G128" s="229"/>
      <c r="H128" s="229"/>
      <c r="I128" s="229"/>
      <c r="J128" s="229"/>
      <c r="K128" s="229"/>
      <c r="L128" s="229"/>
      <c r="M128" s="229"/>
      <c r="N128" s="229"/>
      <c r="O128" s="229"/>
      <c r="P128" s="229"/>
      <c r="Q128" s="213" t="s">
        <v>578</v>
      </c>
    </row>
    <row r="129" ht="16.5" spans="1:17">
      <c r="A129" s="249">
        <v>603001</v>
      </c>
      <c r="B129" s="217" t="s">
        <v>745</v>
      </c>
      <c r="C129" s="229">
        <v>749.069164</v>
      </c>
      <c r="D129" s="229">
        <v>749.069164</v>
      </c>
      <c r="E129" s="229">
        <v>749.069164</v>
      </c>
      <c r="F129" s="229"/>
      <c r="G129" s="229"/>
      <c r="H129" s="229"/>
      <c r="I129" s="229"/>
      <c r="J129" s="229"/>
      <c r="K129" s="229"/>
      <c r="L129" s="229"/>
      <c r="M129" s="229"/>
      <c r="N129" s="229"/>
      <c r="O129" s="229"/>
      <c r="P129" s="229"/>
      <c r="Q129" s="213" t="s">
        <v>578</v>
      </c>
    </row>
    <row r="130" ht="16.5" spans="1:17">
      <c r="A130" s="249">
        <v>604001</v>
      </c>
      <c r="B130" s="210" t="s">
        <v>746</v>
      </c>
      <c r="C130" s="229">
        <v>3107.919889</v>
      </c>
      <c r="D130" s="229">
        <v>3107.919889</v>
      </c>
      <c r="E130" s="229">
        <v>2707.919889</v>
      </c>
      <c r="F130" s="229">
        <v>400</v>
      </c>
      <c r="G130" s="229"/>
      <c r="H130" s="229"/>
      <c r="I130" s="229">
        <v>400</v>
      </c>
      <c r="J130" s="229"/>
      <c r="K130" s="229"/>
      <c r="L130" s="229"/>
      <c r="M130" s="229"/>
      <c r="N130" s="229"/>
      <c r="O130" s="229"/>
      <c r="P130" s="229"/>
      <c r="Q130" s="213" t="s">
        <v>578</v>
      </c>
    </row>
    <row r="131" ht="16.5" spans="1:17">
      <c r="A131" s="249">
        <v>605001</v>
      </c>
      <c r="B131" s="210" t="s">
        <v>747</v>
      </c>
      <c r="C131" s="229">
        <v>3554.98443</v>
      </c>
      <c r="D131" s="229">
        <v>3554.98443</v>
      </c>
      <c r="E131" s="229">
        <v>3554.98443</v>
      </c>
      <c r="F131" s="229"/>
      <c r="G131" s="229"/>
      <c r="H131" s="229"/>
      <c r="I131" s="229"/>
      <c r="J131" s="229"/>
      <c r="K131" s="229"/>
      <c r="L131" s="229"/>
      <c r="M131" s="229"/>
      <c r="N131" s="229"/>
      <c r="O131" s="229"/>
      <c r="P131" s="229"/>
      <c r="Q131" s="213" t="s">
        <v>578</v>
      </c>
    </row>
    <row r="132" ht="16.5" spans="1:17">
      <c r="A132" s="249">
        <v>605002</v>
      </c>
      <c r="B132" s="210" t="s">
        <v>748</v>
      </c>
      <c r="C132" s="229">
        <v>1009.913407</v>
      </c>
      <c r="D132" s="229">
        <v>1009.913407</v>
      </c>
      <c r="E132" s="229">
        <v>1009.913407</v>
      </c>
      <c r="F132" s="229"/>
      <c r="G132" s="229"/>
      <c r="H132" s="229"/>
      <c r="I132" s="229"/>
      <c r="J132" s="229"/>
      <c r="K132" s="229"/>
      <c r="L132" s="229"/>
      <c r="M132" s="229"/>
      <c r="N132" s="229"/>
      <c r="O132" s="229"/>
      <c r="P132" s="229"/>
      <c r="Q132" s="213" t="s">
        <v>578</v>
      </c>
    </row>
    <row r="133" ht="16.5" spans="1:17">
      <c r="A133" s="249">
        <v>605003</v>
      </c>
      <c r="B133" s="210" t="s">
        <v>749</v>
      </c>
      <c r="C133" s="229">
        <v>255.551932</v>
      </c>
      <c r="D133" s="229">
        <v>255.551932</v>
      </c>
      <c r="E133" s="229">
        <v>255.551932</v>
      </c>
      <c r="F133" s="229"/>
      <c r="G133" s="229"/>
      <c r="H133" s="229"/>
      <c r="I133" s="229"/>
      <c r="J133" s="229"/>
      <c r="K133" s="229"/>
      <c r="L133" s="229"/>
      <c r="M133" s="229"/>
      <c r="N133" s="229"/>
      <c r="O133" s="229"/>
      <c r="P133" s="229"/>
      <c r="Q133" s="213" t="s">
        <v>578</v>
      </c>
    </row>
    <row r="134" ht="16.5" spans="1:17">
      <c r="A134" s="249">
        <v>605004</v>
      </c>
      <c r="B134" s="210" t="s">
        <v>750</v>
      </c>
      <c r="C134" s="229">
        <v>601.006641</v>
      </c>
      <c r="D134" s="229">
        <v>601.006641</v>
      </c>
      <c r="E134" s="229">
        <v>601.006641</v>
      </c>
      <c r="F134" s="229"/>
      <c r="G134" s="229"/>
      <c r="H134" s="229"/>
      <c r="I134" s="229"/>
      <c r="J134" s="229"/>
      <c r="K134" s="229"/>
      <c r="L134" s="229"/>
      <c r="M134" s="229"/>
      <c r="N134" s="229"/>
      <c r="O134" s="229"/>
      <c r="P134" s="229"/>
      <c r="Q134" s="213" t="s">
        <v>578</v>
      </c>
    </row>
    <row r="135" ht="16.5" spans="1:17">
      <c r="A135" s="249">
        <v>605005</v>
      </c>
      <c r="B135" s="210" t="s">
        <v>751</v>
      </c>
      <c r="C135" s="229">
        <v>379.170151</v>
      </c>
      <c r="D135" s="229">
        <v>379.170151</v>
      </c>
      <c r="E135" s="229">
        <v>379.170151</v>
      </c>
      <c r="F135" s="229"/>
      <c r="G135" s="229"/>
      <c r="H135" s="229"/>
      <c r="I135" s="229"/>
      <c r="J135" s="229"/>
      <c r="K135" s="229"/>
      <c r="L135" s="229"/>
      <c r="M135" s="229"/>
      <c r="N135" s="229"/>
      <c r="O135" s="229"/>
      <c r="P135" s="229"/>
      <c r="Q135" s="213" t="s">
        <v>578</v>
      </c>
    </row>
    <row r="136" ht="16.5" spans="1:17">
      <c r="A136" s="249">
        <v>605006</v>
      </c>
      <c r="B136" s="210" t="s">
        <v>752</v>
      </c>
      <c r="C136" s="229">
        <v>531.518528</v>
      </c>
      <c r="D136" s="229">
        <v>181.518528</v>
      </c>
      <c r="E136" s="229">
        <v>181.518528</v>
      </c>
      <c r="F136" s="229"/>
      <c r="G136" s="229"/>
      <c r="H136" s="229"/>
      <c r="I136" s="229"/>
      <c r="J136" s="229">
        <v>350</v>
      </c>
      <c r="K136" s="229"/>
      <c r="L136" s="229"/>
      <c r="M136" s="229"/>
      <c r="N136" s="229"/>
      <c r="O136" s="229"/>
      <c r="P136" s="229"/>
      <c r="Q136" s="213" t="s">
        <v>578</v>
      </c>
    </row>
    <row r="137" ht="16.5" spans="1:17">
      <c r="A137" s="249">
        <v>605007</v>
      </c>
      <c r="B137" s="210" t="s">
        <v>753</v>
      </c>
      <c r="C137" s="229">
        <v>2026.660331</v>
      </c>
      <c r="D137" s="229">
        <v>2026.660331</v>
      </c>
      <c r="E137" s="229">
        <v>1620.660331</v>
      </c>
      <c r="F137" s="229">
        <v>406</v>
      </c>
      <c r="G137" s="229"/>
      <c r="H137" s="229"/>
      <c r="I137" s="229">
        <v>406</v>
      </c>
      <c r="J137" s="229"/>
      <c r="K137" s="229"/>
      <c r="L137" s="229"/>
      <c r="M137" s="229"/>
      <c r="N137" s="229"/>
      <c r="O137" s="229"/>
      <c r="P137" s="229"/>
      <c r="Q137" s="213" t="s">
        <v>578</v>
      </c>
    </row>
    <row r="138" ht="16.5" spans="1:17">
      <c r="A138" s="249">
        <v>605008</v>
      </c>
      <c r="B138" s="210" t="s">
        <v>754</v>
      </c>
      <c r="C138" s="229">
        <v>1398.031481</v>
      </c>
      <c r="D138" s="229">
        <v>657.051481</v>
      </c>
      <c r="E138" s="229">
        <v>657.051481</v>
      </c>
      <c r="F138" s="229"/>
      <c r="G138" s="229"/>
      <c r="H138" s="229"/>
      <c r="I138" s="229"/>
      <c r="J138" s="229">
        <v>740.98</v>
      </c>
      <c r="K138" s="229"/>
      <c r="L138" s="229"/>
      <c r="M138" s="229"/>
      <c r="N138" s="229"/>
      <c r="O138" s="229"/>
      <c r="P138" s="229"/>
      <c r="Q138" s="213" t="s">
        <v>578</v>
      </c>
    </row>
    <row r="139" ht="16.5" spans="1:17">
      <c r="A139" s="249">
        <v>605009</v>
      </c>
      <c r="B139" s="210" t="s">
        <v>755</v>
      </c>
      <c r="C139" s="229">
        <v>2145.714825</v>
      </c>
      <c r="D139" s="229">
        <v>2145.714825</v>
      </c>
      <c r="E139" s="229">
        <v>2145.714825</v>
      </c>
      <c r="F139" s="229"/>
      <c r="G139" s="229"/>
      <c r="H139" s="229"/>
      <c r="I139" s="229"/>
      <c r="J139" s="229"/>
      <c r="K139" s="229"/>
      <c r="L139" s="229"/>
      <c r="M139" s="229"/>
      <c r="N139" s="229"/>
      <c r="O139" s="229"/>
      <c r="P139" s="229"/>
      <c r="Q139" s="213" t="s">
        <v>578</v>
      </c>
    </row>
    <row r="140" ht="16.5" spans="1:17">
      <c r="A140" s="249">
        <v>605010</v>
      </c>
      <c r="B140" s="210" t="s">
        <v>756</v>
      </c>
      <c r="C140" s="229">
        <v>3405.093576</v>
      </c>
      <c r="D140" s="229">
        <v>3405.093576</v>
      </c>
      <c r="E140" s="229">
        <v>3405.093576</v>
      </c>
      <c r="F140" s="229"/>
      <c r="G140" s="229"/>
      <c r="H140" s="229"/>
      <c r="I140" s="229"/>
      <c r="J140" s="229"/>
      <c r="K140" s="229"/>
      <c r="L140" s="229"/>
      <c r="M140" s="229"/>
      <c r="N140" s="229"/>
      <c r="O140" s="229"/>
      <c r="P140" s="229"/>
      <c r="Q140" s="213" t="s">
        <v>578</v>
      </c>
    </row>
    <row r="141" ht="16.5" spans="1:17">
      <c r="A141" s="249">
        <v>605011</v>
      </c>
      <c r="B141" s="210" t="s">
        <v>757</v>
      </c>
      <c r="C141" s="229">
        <v>1648.155264</v>
      </c>
      <c r="D141" s="229">
        <v>1648.155264</v>
      </c>
      <c r="E141" s="229">
        <v>1648.155264</v>
      </c>
      <c r="F141" s="229"/>
      <c r="G141" s="229"/>
      <c r="H141" s="229"/>
      <c r="I141" s="229"/>
      <c r="J141" s="229"/>
      <c r="K141" s="229"/>
      <c r="L141" s="229"/>
      <c r="M141" s="229"/>
      <c r="N141" s="229"/>
      <c r="O141" s="229"/>
      <c r="P141" s="229"/>
      <c r="Q141" s="213" t="s">
        <v>578</v>
      </c>
    </row>
    <row r="142" ht="16.5" spans="1:17">
      <c r="A142" s="249">
        <v>605012</v>
      </c>
      <c r="B142" s="210" t="s">
        <v>758</v>
      </c>
      <c r="C142" s="229">
        <v>990.77945</v>
      </c>
      <c r="D142" s="229">
        <v>990.77945</v>
      </c>
      <c r="E142" s="229">
        <v>990.77945</v>
      </c>
      <c r="F142" s="229"/>
      <c r="G142" s="229"/>
      <c r="H142" s="229"/>
      <c r="I142" s="229"/>
      <c r="J142" s="229"/>
      <c r="K142" s="229"/>
      <c r="L142" s="229"/>
      <c r="M142" s="229"/>
      <c r="N142" s="229"/>
      <c r="O142" s="229"/>
      <c r="P142" s="229"/>
      <c r="Q142" s="213" t="s">
        <v>578</v>
      </c>
    </row>
    <row r="143" ht="16.5" spans="1:17">
      <c r="A143" s="249">
        <v>605013</v>
      </c>
      <c r="B143" s="210" t="s">
        <v>759</v>
      </c>
      <c r="C143" s="229">
        <v>1926.19263</v>
      </c>
      <c r="D143" s="229">
        <v>1926.19263</v>
      </c>
      <c r="E143" s="229">
        <v>1926.19263</v>
      </c>
      <c r="F143" s="229"/>
      <c r="G143" s="229"/>
      <c r="H143" s="229"/>
      <c r="I143" s="229"/>
      <c r="J143" s="229"/>
      <c r="K143" s="229"/>
      <c r="L143" s="229"/>
      <c r="M143" s="229"/>
      <c r="N143" s="229"/>
      <c r="O143" s="229"/>
      <c r="P143" s="229"/>
      <c r="Q143" s="213" t="s">
        <v>578</v>
      </c>
    </row>
    <row r="144" ht="16.5" spans="1:17">
      <c r="A144" s="249">
        <v>605014</v>
      </c>
      <c r="B144" s="210" t="s">
        <v>760</v>
      </c>
      <c r="C144" s="229">
        <v>771.302463</v>
      </c>
      <c r="D144" s="229">
        <v>771.302463</v>
      </c>
      <c r="E144" s="229">
        <v>771.302463</v>
      </c>
      <c r="F144" s="229"/>
      <c r="G144" s="229"/>
      <c r="H144" s="229"/>
      <c r="I144" s="229"/>
      <c r="J144" s="229"/>
      <c r="K144" s="229"/>
      <c r="L144" s="229"/>
      <c r="M144" s="229"/>
      <c r="N144" s="229"/>
      <c r="O144" s="229"/>
      <c r="P144" s="229"/>
      <c r="Q144" s="213" t="s">
        <v>578</v>
      </c>
    </row>
    <row r="145" ht="16.5" spans="1:17">
      <c r="A145" s="249">
        <v>605015</v>
      </c>
      <c r="B145" s="210" t="s">
        <v>761</v>
      </c>
      <c r="C145" s="229">
        <v>3305.212597</v>
      </c>
      <c r="D145" s="229">
        <v>3305.212597</v>
      </c>
      <c r="E145" s="229">
        <v>3305.212597</v>
      </c>
      <c r="F145" s="229"/>
      <c r="G145" s="229"/>
      <c r="H145" s="229"/>
      <c r="I145" s="229"/>
      <c r="J145" s="229"/>
      <c r="K145" s="229"/>
      <c r="L145" s="229"/>
      <c r="M145" s="229"/>
      <c r="N145" s="229"/>
      <c r="O145" s="229"/>
      <c r="P145" s="229"/>
      <c r="Q145" s="213" t="s">
        <v>578</v>
      </c>
    </row>
    <row r="146" ht="16.5" spans="1:17">
      <c r="A146" s="249">
        <v>605016</v>
      </c>
      <c r="B146" s="210" t="s">
        <v>762</v>
      </c>
      <c r="C146" s="229">
        <v>4597.302965</v>
      </c>
      <c r="D146" s="229">
        <v>4597.302965</v>
      </c>
      <c r="E146" s="229">
        <v>4571.052965</v>
      </c>
      <c r="F146" s="229">
        <v>26.25</v>
      </c>
      <c r="G146" s="229"/>
      <c r="H146" s="229">
        <v>26.25</v>
      </c>
      <c r="I146" s="229"/>
      <c r="J146" s="229"/>
      <c r="K146" s="229"/>
      <c r="L146" s="229"/>
      <c r="M146" s="229"/>
      <c r="N146" s="229"/>
      <c r="O146" s="229"/>
      <c r="P146" s="229"/>
      <c r="Q146" s="213" t="s">
        <v>578</v>
      </c>
    </row>
    <row r="147" ht="16.5" spans="1:17">
      <c r="A147" s="249">
        <v>605017</v>
      </c>
      <c r="B147" s="210" t="s">
        <v>763</v>
      </c>
      <c r="C147" s="229">
        <v>2812.172263</v>
      </c>
      <c r="D147" s="229">
        <v>2812.172263</v>
      </c>
      <c r="E147" s="229">
        <v>2812.172263</v>
      </c>
      <c r="F147" s="229"/>
      <c r="G147" s="229"/>
      <c r="H147" s="229"/>
      <c r="I147" s="229"/>
      <c r="J147" s="229"/>
      <c r="K147" s="229"/>
      <c r="L147" s="229"/>
      <c r="M147" s="229"/>
      <c r="N147" s="229"/>
      <c r="O147" s="229"/>
      <c r="P147" s="229"/>
      <c r="Q147" s="213" t="s">
        <v>578</v>
      </c>
    </row>
    <row r="148" ht="16.5" spans="1:17">
      <c r="A148" s="249">
        <v>605018</v>
      </c>
      <c r="B148" s="210" t="s">
        <v>764</v>
      </c>
      <c r="C148" s="229">
        <v>6426.108764</v>
      </c>
      <c r="D148" s="229">
        <v>5506.108764</v>
      </c>
      <c r="E148" s="229">
        <v>5306.108764</v>
      </c>
      <c r="F148" s="229">
        <v>200</v>
      </c>
      <c r="G148" s="229"/>
      <c r="H148" s="229">
        <v>200</v>
      </c>
      <c r="I148" s="229"/>
      <c r="J148" s="229">
        <v>920</v>
      </c>
      <c r="K148" s="229"/>
      <c r="L148" s="229"/>
      <c r="M148" s="229"/>
      <c r="N148" s="229"/>
      <c r="O148" s="229"/>
      <c r="P148" s="229"/>
      <c r="Q148" s="213" t="s">
        <v>578</v>
      </c>
    </row>
    <row r="149" ht="16.5" spans="1:17">
      <c r="A149" s="249">
        <v>605019</v>
      </c>
      <c r="B149" s="210" t="s">
        <v>765</v>
      </c>
      <c r="C149" s="229">
        <v>6721.875023</v>
      </c>
      <c r="D149" s="229">
        <v>5846.695023</v>
      </c>
      <c r="E149" s="229">
        <v>5740.495023</v>
      </c>
      <c r="F149" s="229">
        <v>106.2</v>
      </c>
      <c r="G149" s="229"/>
      <c r="H149" s="229">
        <v>106.2</v>
      </c>
      <c r="I149" s="229"/>
      <c r="J149" s="229">
        <v>875.18</v>
      </c>
      <c r="K149" s="229"/>
      <c r="L149" s="229"/>
      <c r="M149" s="229"/>
      <c r="N149" s="229"/>
      <c r="O149" s="229"/>
      <c r="P149" s="229"/>
      <c r="Q149" s="213" t="s">
        <v>578</v>
      </c>
    </row>
    <row r="150" ht="16.5" spans="1:17">
      <c r="A150" s="249">
        <v>605020</v>
      </c>
      <c r="B150" s="210" t="s">
        <v>766</v>
      </c>
      <c r="C150" s="229">
        <v>4983.478217</v>
      </c>
      <c r="D150" s="229">
        <v>4228.418217</v>
      </c>
      <c r="E150" s="229">
        <v>4090.418217</v>
      </c>
      <c r="F150" s="229">
        <v>138</v>
      </c>
      <c r="G150" s="229"/>
      <c r="H150" s="229">
        <v>138</v>
      </c>
      <c r="I150" s="229"/>
      <c r="J150" s="229">
        <v>755.06</v>
      </c>
      <c r="K150" s="229"/>
      <c r="L150" s="229"/>
      <c r="M150" s="229"/>
      <c r="N150" s="229"/>
      <c r="O150" s="229"/>
      <c r="P150" s="229"/>
      <c r="Q150" s="213" t="s">
        <v>578</v>
      </c>
    </row>
    <row r="151" ht="16.5" spans="1:17">
      <c r="A151" s="249">
        <v>605021</v>
      </c>
      <c r="B151" s="210" t="s">
        <v>767</v>
      </c>
      <c r="C151" s="229">
        <v>3380.361872</v>
      </c>
      <c r="D151" s="229">
        <v>2965.141872</v>
      </c>
      <c r="E151" s="229">
        <v>2782.141872</v>
      </c>
      <c r="F151" s="229">
        <v>183</v>
      </c>
      <c r="G151" s="229"/>
      <c r="H151" s="229">
        <v>183</v>
      </c>
      <c r="I151" s="229"/>
      <c r="J151" s="229">
        <v>415.22</v>
      </c>
      <c r="K151" s="229"/>
      <c r="L151" s="229"/>
      <c r="M151" s="229"/>
      <c r="N151" s="229"/>
      <c r="O151" s="229"/>
      <c r="P151" s="229"/>
      <c r="Q151" s="213" t="s">
        <v>578</v>
      </c>
    </row>
    <row r="152" ht="16.5" spans="1:17">
      <c r="A152" s="249">
        <v>605022</v>
      </c>
      <c r="B152" s="210" t="s">
        <v>768</v>
      </c>
      <c r="C152" s="229">
        <v>343.649753</v>
      </c>
      <c r="D152" s="229">
        <v>343.649753</v>
      </c>
      <c r="E152" s="229">
        <v>336.004753</v>
      </c>
      <c r="F152" s="229">
        <v>7.645</v>
      </c>
      <c r="G152" s="229"/>
      <c r="H152" s="229"/>
      <c r="I152" s="229">
        <v>7.645</v>
      </c>
      <c r="J152" s="229"/>
      <c r="K152" s="229"/>
      <c r="L152" s="229"/>
      <c r="M152" s="229"/>
      <c r="N152" s="229"/>
      <c r="O152" s="229"/>
      <c r="P152" s="229"/>
      <c r="Q152" s="213" t="s">
        <v>578</v>
      </c>
    </row>
    <row r="153" ht="16.5" spans="1:17">
      <c r="A153" s="249">
        <v>605023</v>
      </c>
      <c r="B153" s="210" t="s">
        <v>769</v>
      </c>
      <c r="C153" s="229">
        <v>974.610307</v>
      </c>
      <c r="D153" s="229">
        <v>974.610307</v>
      </c>
      <c r="E153" s="229">
        <v>974.610307</v>
      </c>
      <c r="F153" s="229"/>
      <c r="G153" s="229"/>
      <c r="H153" s="229"/>
      <c r="I153" s="229"/>
      <c r="J153" s="229"/>
      <c r="K153" s="229"/>
      <c r="L153" s="229"/>
      <c r="M153" s="229"/>
      <c r="N153" s="229"/>
      <c r="O153" s="229"/>
      <c r="P153" s="229"/>
      <c r="Q153" s="213" t="s">
        <v>578</v>
      </c>
    </row>
    <row r="154" ht="16.5" spans="1:17">
      <c r="A154" s="249">
        <v>605024</v>
      </c>
      <c r="B154" s="210" t="s">
        <v>770</v>
      </c>
      <c r="C154" s="229">
        <v>348.998949</v>
      </c>
      <c r="D154" s="229">
        <v>348.998949</v>
      </c>
      <c r="E154" s="229">
        <v>348.998949</v>
      </c>
      <c r="F154" s="229"/>
      <c r="G154" s="229"/>
      <c r="H154" s="229"/>
      <c r="I154" s="229"/>
      <c r="J154" s="229"/>
      <c r="K154" s="229"/>
      <c r="L154" s="229"/>
      <c r="M154" s="229"/>
      <c r="N154" s="229"/>
      <c r="O154" s="229"/>
      <c r="P154" s="229"/>
      <c r="Q154" s="213" t="s">
        <v>578</v>
      </c>
    </row>
    <row r="155" ht="16.5" spans="1:17">
      <c r="A155" s="249">
        <v>605025</v>
      </c>
      <c r="B155" s="254" t="s">
        <v>771</v>
      </c>
      <c r="C155" s="229">
        <v>3154.725281</v>
      </c>
      <c r="D155" s="229">
        <v>3154.725281</v>
      </c>
      <c r="E155" s="229">
        <v>3086.175281</v>
      </c>
      <c r="F155" s="229">
        <v>68.55</v>
      </c>
      <c r="G155" s="229"/>
      <c r="H155" s="229"/>
      <c r="I155" s="229">
        <v>68.55</v>
      </c>
      <c r="J155" s="229"/>
      <c r="K155" s="229"/>
      <c r="L155" s="229"/>
      <c r="M155" s="229"/>
      <c r="N155" s="229"/>
      <c r="O155" s="229"/>
      <c r="P155" s="229"/>
      <c r="Q155" s="213" t="s">
        <v>578</v>
      </c>
    </row>
    <row r="156" ht="16.5" spans="1:17">
      <c r="A156" s="249">
        <v>605026</v>
      </c>
      <c r="B156" s="254" t="s">
        <v>772</v>
      </c>
      <c r="C156" s="229">
        <v>9056.550165</v>
      </c>
      <c r="D156" s="229">
        <v>9056.550165</v>
      </c>
      <c r="E156" s="229">
        <v>8930.590165</v>
      </c>
      <c r="F156" s="229">
        <v>125.96</v>
      </c>
      <c r="G156" s="229"/>
      <c r="H156" s="229"/>
      <c r="I156" s="229">
        <v>125.96</v>
      </c>
      <c r="J156" s="229"/>
      <c r="K156" s="229"/>
      <c r="L156" s="229"/>
      <c r="M156" s="229"/>
      <c r="N156" s="229"/>
      <c r="O156" s="229"/>
      <c r="P156" s="229"/>
      <c r="Q156" s="213" t="s">
        <v>578</v>
      </c>
    </row>
    <row r="157" ht="16.5" spans="1:17">
      <c r="A157" s="249">
        <v>605027</v>
      </c>
      <c r="B157" s="210" t="s">
        <v>773</v>
      </c>
      <c r="C157" s="229">
        <v>5555.333522</v>
      </c>
      <c r="D157" s="229">
        <v>5555.333522</v>
      </c>
      <c r="E157" s="229">
        <v>5441.063522</v>
      </c>
      <c r="F157" s="229">
        <v>114.27</v>
      </c>
      <c r="G157" s="229"/>
      <c r="H157" s="229"/>
      <c r="I157" s="229">
        <v>114.27</v>
      </c>
      <c r="J157" s="229"/>
      <c r="K157" s="229"/>
      <c r="L157" s="229"/>
      <c r="M157" s="229"/>
      <c r="N157" s="229"/>
      <c r="O157" s="229"/>
      <c r="P157" s="229"/>
      <c r="Q157" s="213" t="s">
        <v>578</v>
      </c>
    </row>
    <row r="158" ht="16.5" spans="1:17">
      <c r="A158" s="249">
        <v>605028</v>
      </c>
      <c r="B158" s="254" t="s">
        <v>774</v>
      </c>
      <c r="C158" s="229">
        <v>4652.891885</v>
      </c>
      <c r="D158" s="229">
        <v>4652.891885</v>
      </c>
      <c r="E158" s="229">
        <v>4594.191885</v>
      </c>
      <c r="F158" s="229">
        <v>58.7</v>
      </c>
      <c r="G158" s="229"/>
      <c r="H158" s="229"/>
      <c r="I158" s="229">
        <v>58.7</v>
      </c>
      <c r="J158" s="229"/>
      <c r="K158" s="229"/>
      <c r="L158" s="229"/>
      <c r="M158" s="229"/>
      <c r="N158" s="229"/>
      <c r="O158" s="229"/>
      <c r="P158" s="229"/>
      <c r="Q158" s="213" t="s">
        <v>578</v>
      </c>
    </row>
    <row r="159" ht="16.5" spans="1:17">
      <c r="A159" s="249">
        <v>605029</v>
      </c>
      <c r="B159" s="210" t="s">
        <v>775</v>
      </c>
      <c r="C159" s="229">
        <v>4567.621189</v>
      </c>
      <c r="D159" s="229">
        <v>4567.621189</v>
      </c>
      <c r="E159" s="229">
        <v>4496.755189</v>
      </c>
      <c r="F159" s="229">
        <v>70.866</v>
      </c>
      <c r="G159" s="229"/>
      <c r="H159" s="229"/>
      <c r="I159" s="229">
        <v>70.866</v>
      </c>
      <c r="J159" s="229"/>
      <c r="K159" s="229"/>
      <c r="L159" s="229"/>
      <c r="M159" s="229"/>
      <c r="N159" s="229"/>
      <c r="O159" s="229"/>
      <c r="P159" s="229"/>
      <c r="Q159" s="213" t="s">
        <v>578</v>
      </c>
    </row>
    <row r="160" ht="16.5" spans="1:17">
      <c r="A160" s="249">
        <v>605030</v>
      </c>
      <c r="B160" s="254" t="s">
        <v>776</v>
      </c>
      <c r="C160" s="229">
        <v>3387.16332</v>
      </c>
      <c r="D160" s="229">
        <v>3387.16332</v>
      </c>
      <c r="E160" s="229">
        <v>3363.16332</v>
      </c>
      <c r="F160" s="229">
        <v>24</v>
      </c>
      <c r="G160" s="229"/>
      <c r="H160" s="229"/>
      <c r="I160" s="229">
        <v>24</v>
      </c>
      <c r="J160" s="229"/>
      <c r="K160" s="229"/>
      <c r="L160" s="229"/>
      <c r="M160" s="229"/>
      <c r="N160" s="229"/>
      <c r="O160" s="229"/>
      <c r="P160" s="229"/>
      <c r="Q160" s="213" t="s">
        <v>578</v>
      </c>
    </row>
    <row r="161" ht="16.5" spans="1:17">
      <c r="A161" s="249">
        <v>605031</v>
      </c>
      <c r="B161" s="254" t="s">
        <v>777</v>
      </c>
      <c r="C161" s="229">
        <v>4842.541846</v>
      </c>
      <c r="D161" s="229">
        <v>4842.541846</v>
      </c>
      <c r="E161" s="229">
        <v>4770.091846</v>
      </c>
      <c r="F161" s="229">
        <v>72.45</v>
      </c>
      <c r="G161" s="229"/>
      <c r="H161" s="229"/>
      <c r="I161" s="229">
        <v>72.45</v>
      </c>
      <c r="J161" s="229"/>
      <c r="K161" s="229"/>
      <c r="L161" s="229"/>
      <c r="M161" s="229"/>
      <c r="N161" s="229"/>
      <c r="O161" s="229"/>
      <c r="P161" s="229"/>
      <c r="Q161" s="213" t="s">
        <v>578</v>
      </c>
    </row>
    <row r="162" ht="16.5" spans="1:17">
      <c r="A162" s="249">
        <v>605032</v>
      </c>
      <c r="B162" s="254" t="s">
        <v>778</v>
      </c>
      <c r="C162" s="229">
        <v>6498.064521</v>
      </c>
      <c r="D162" s="229">
        <v>6498.064521</v>
      </c>
      <c r="E162" s="229">
        <v>6402.194521</v>
      </c>
      <c r="F162" s="229">
        <v>95.87</v>
      </c>
      <c r="G162" s="229"/>
      <c r="H162" s="229"/>
      <c r="I162" s="229">
        <v>95.87</v>
      </c>
      <c r="J162" s="229"/>
      <c r="K162" s="229"/>
      <c r="L162" s="229"/>
      <c r="M162" s="229"/>
      <c r="N162" s="229"/>
      <c r="O162" s="229"/>
      <c r="P162" s="229"/>
      <c r="Q162" s="213" t="s">
        <v>578</v>
      </c>
    </row>
    <row r="163" ht="16.5" spans="1:17">
      <c r="A163" s="249">
        <v>605033</v>
      </c>
      <c r="B163" s="210" t="s">
        <v>779</v>
      </c>
      <c r="C163" s="229">
        <v>3208.652894</v>
      </c>
      <c r="D163" s="229">
        <v>3208.652894</v>
      </c>
      <c r="E163" s="229">
        <v>3201.484894</v>
      </c>
      <c r="F163" s="229">
        <v>7.168</v>
      </c>
      <c r="G163" s="229"/>
      <c r="H163" s="229"/>
      <c r="I163" s="229">
        <v>7.168</v>
      </c>
      <c r="J163" s="229"/>
      <c r="K163" s="229"/>
      <c r="L163" s="229"/>
      <c r="M163" s="229"/>
      <c r="N163" s="229"/>
      <c r="O163" s="229"/>
      <c r="P163" s="229"/>
      <c r="Q163" s="213" t="s">
        <v>578</v>
      </c>
    </row>
    <row r="164" ht="16.5" spans="1:17">
      <c r="A164" s="249">
        <v>605034</v>
      </c>
      <c r="B164" s="254" t="s">
        <v>780</v>
      </c>
      <c r="C164" s="229">
        <v>3617.999725</v>
      </c>
      <c r="D164" s="229">
        <v>3617.999725</v>
      </c>
      <c r="E164" s="229">
        <v>3577.999725</v>
      </c>
      <c r="F164" s="229">
        <v>40</v>
      </c>
      <c r="G164" s="229"/>
      <c r="H164" s="229"/>
      <c r="I164" s="229">
        <v>40</v>
      </c>
      <c r="J164" s="229"/>
      <c r="K164" s="229"/>
      <c r="L164" s="229"/>
      <c r="M164" s="229"/>
      <c r="N164" s="229"/>
      <c r="O164" s="229"/>
      <c r="P164" s="229"/>
      <c r="Q164" s="213" t="s">
        <v>578</v>
      </c>
    </row>
    <row r="165" ht="16.5" spans="1:17">
      <c r="A165" s="249">
        <v>605035</v>
      </c>
      <c r="B165" s="254" t="s">
        <v>781</v>
      </c>
      <c r="C165" s="229">
        <v>6004.741638</v>
      </c>
      <c r="D165" s="229">
        <v>6004.741638</v>
      </c>
      <c r="E165" s="229">
        <v>5994.643638</v>
      </c>
      <c r="F165" s="229">
        <v>10.098</v>
      </c>
      <c r="G165" s="229"/>
      <c r="H165" s="229"/>
      <c r="I165" s="229">
        <v>10.098</v>
      </c>
      <c r="J165" s="229"/>
      <c r="K165" s="229"/>
      <c r="L165" s="229"/>
      <c r="M165" s="229"/>
      <c r="N165" s="229"/>
      <c r="O165" s="229"/>
      <c r="P165" s="229"/>
      <c r="Q165" s="213" t="s">
        <v>578</v>
      </c>
    </row>
    <row r="166" ht="16.5" spans="1:17">
      <c r="A166" s="249">
        <v>605036</v>
      </c>
      <c r="B166" s="254" t="s">
        <v>782</v>
      </c>
      <c r="C166" s="229">
        <v>4369.61317</v>
      </c>
      <c r="D166" s="229">
        <v>4369.61317</v>
      </c>
      <c r="E166" s="229">
        <v>4342.51317</v>
      </c>
      <c r="F166" s="229">
        <v>27.1</v>
      </c>
      <c r="G166" s="229"/>
      <c r="H166" s="229"/>
      <c r="I166" s="229">
        <v>27.1</v>
      </c>
      <c r="J166" s="229"/>
      <c r="K166" s="229"/>
      <c r="L166" s="229"/>
      <c r="M166" s="229"/>
      <c r="N166" s="229"/>
      <c r="O166" s="229"/>
      <c r="P166" s="229"/>
      <c r="Q166" s="213" t="s">
        <v>578</v>
      </c>
    </row>
    <row r="167" ht="16.5" spans="1:17">
      <c r="A167" s="249">
        <v>605037</v>
      </c>
      <c r="B167" s="254" t="s">
        <v>783</v>
      </c>
      <c r="C167" s="229">
        <v>564.237415</v>
      </c>
      <c r="D167" s="229">
        <v>564.237415</v>
      </c>
      <c r="E167" s="229">
        <v>454.237415</v>
      </c>
      <c r="F167" s="229">
        <v>110</v>
      </c>
      <c r="G167" s="229"/>
      <c r="H167" s="229"/>
      <c r="I167" s="229">
        <v>110</v>
      </c>
      <c r="J167" s="229"/>
      <c r="K167" s="229"/>
      <c r="L167" s="229"/>
      <c r="M167" s="229"/>
      <c r="N167" s="229"/>
      <c r="O167" s="229"/>
      <c r="P167" s="229"/>
      <c r="Q167" s="213" t="s">
        <v>578</v>
      </c>
    </row>
    <row r="168" ht="16.5" spans="1:17">
      <c r="A168" s="249">
        <v>605038</v>
      </c>
      <c r="B168" s="254" t="s">
        <v>784</v>
      </c>
      <c r="C168" s="229">
        <v>1290.771307</v>
      </c>
      <c r="D168" s="229">
        <v>1290.771307</v>
      </c>
      <c r="E168" s="229">
        <v>1290.771307</v>
      </c>
      <c r="F168" s="229"/>
      <c r="G168" s="229"/>
      <c r="H168" s="229"/>
      <c r="I168" s="229"/>
      <c r="J168" s="229"/>
      <c r="K168" s="229"/>
      <c r="L168" s="229"/>
      <c r="M168" s="229"/>
      <c r="N168" s="229"/>
      <c r="O168" s="229"/>
      <c r="P168" s="229"/>
      <c r="Q168" s="213" t="s">
        <v>578</v>
      </c>
    </row>
    <row r="169" ht="16.5" spans="1:17">
      <c r="A169" s="249">
        <v>605039</v>
      </c>
      <c r="B169" s="210" t="s">
        <v>785</v>
      </c>
      <c r="C169" s="229">
        <v>1664.02679</v>
      </c>
      <c r="D169" s="229">
        <v>1664.02679</v>
      </c>
      <c r="E169" s="229">
        <v>1664.02679</v>
      </c>
      <c r="F169" s="229"/>
      <c r="G169" s="229"/>
      <c r="H169" s="229"/>
      <c r="I169" s="229"/>
      <c r="J169" s="229"/>
      <c r="K169" s="229"/>
      <c r="L169" s="229"/>
      <c r="M169" s="229"/>
      <c r="N169" s="229"/>
      <c r="O169" s="229"/>
      <c r="P169" s="229"/>
      <c r="Q169" s="213" t="s">
        <v>578</v>
      </c>
    </row>
    <row r="170" ht="16.5" spans="1:17">
      <c r="A170" s="249">
        <v>605040</v>
      </c>
      <c r="B170" s="210" t="s">
        <v>786</v>
      </c>
      <c r="C170" s="229">
        <v>1109.922751</v>
      </c>
      <c r="D170" s="229">
        <v>1109.922751</v>
      </c>
      <c r="E170" s="229">
        <v>1109.922751</v>
      </c>
      <c r="F170" s="229"/>
      <c r="G170" s="229"/>
      <c r="H170" s="229"/>
      <c r="I170" s="229"/>
      <c r="J170" s="229"/>
      <c r="K170" s="229"/>
      <c r="L170" s="229"/>
      <c r="M170" s="229"/>
      <c r="N170" s="229"/>
      <c r="O170" s="229"/>
      <c r="P170" s="229"/>
      <c r="Q170" s="213" t="s">
        <v>578</v>
      </c>
    </row>
    <row r="171" ht="16.5" spans="1:17">
      <c r="A171" s="249">
        <v>605041</v>
      </c>
      <c r="B171" s="210" t="s">
        <v>787</v>
      </c>
      <c r="C171" s="229">
        <v>1164.868644</v>
      </c>
      <c r="D171" s="229">
        <v>1164.868644</v>
      </c>
      <c r="E171" s="229">
        <v>1164.868644</v>
      </c>
      <c r="F171" s="229"/>
      <c r="G171" s="229"/>
      <c r="H171" s="229"/>
      <c r="I171" s="229"/>
      <c r="J171" s="229"/>
      <c r="K171" s="229"/>
      <c r="L171" s="229"/>
      <c r="M171" s="229"/>
      <c r="N171" s="229"/>
      <c r="O171" s="229"/>
      <c r="P171" s="229"/>
      <c r="Q171" s="213" t="s">
        <v>578</v>
      </c>
    </row>
    <row r="172" ht="16.5" spans="1:17">
      <c r="A172" s="249">
        <v>605042</v>
      </c>
      <c r="B172" s="210" t="s">
        <v>788</v>
      </c>
      <c r="C172" s="229">
        <v>2089.970462</v>
      </c>
      <c r="D172" s="229">
        <v>2089.970462</v>
      </c>
      <c r="E172" s="229">
        <v>2089.970462</v>
      </c>
      <c r="F172" s="229"/>
      <c r="G172" s="229"/>
      <c r="H172" s="229"/>
      <c r="I172" s="229"/>
      <c r="J172" s="229"/>
      <c r="K172" s="229"/>
      <c r="L172" s="229"/>
      <c r="M172" s="229"/>
      <c r="N172" s="229"/>
      <c r="O172" s="229"/>
      <c r="P172" s="229"/>
      <c r="Q172" s="213" t="s">
        <v>578</v>
      </c>
    </row>
    <row r="173" ht="16.5" spans="1:17">
      <c r="A173" s="249">
        <v>605043</v>
      </c>
      <c r="B173" s="210" t="s">
        <v>789</v>
      </c>
      <c r="C173" s="229">
        <v>4379.056648</v>
      </c>
      <c r="D173" s="229">
        <v>4379.056648</v>
      </c>
      <c r="E173" s="229">
        <v>4371.656648</v>
      </c>
      <c r="F173" s="229">
        <v>7.4</v>
      </c>
      <c r="G173" s="229"/>
      <c r="H173" s="229"/>
      <c r="I173" s="229">
        <v>7.4</v>
      </c>
      <c r="J173" s="229"/>
      <c r="K173" s="229"/>
      <c r="L173" s="229"/>
      <c r="M173" s="229"/>
      <c r="N173" s="229"/>
      <c r="O173" s="229"/>
      <c r="P173" s="229"/>
      <c r="Q173" s="213" t="s">
        <v>578</v>
      </c>
    </row>
    <row r="174" ht="16.5" spans="1:17">
      <c r="A174" s="249">
        <v>605044</v>
      </c>
      <c r="B174" s="210" t="s">
        <v>790</v>
      </c>
      <c r="C174" s="229">
        <v>3862.288159</v>
      </c>
      <c r="D174" s="229">
        <v>3862.288159</v>
      </c>
      <c r="E174" s="229">
        <v>3862.288159</v>
      </c>
      <c r="F174" s="229"/>
      <c r="G174" s="229"/>
      <c r="H174" s="229"/>
      <c r="I174" s="229"/>
      <c r="J174" s="229"/>
      <c r="K174" s="229"/>
      <c r="L174" s="229"/>
      <c r="M174" s="229"/>
      <c r="N174" s="229"/>
      <c r="O174" s="229"/>
      <c r="P174" s="229"/>
      <c r="Q174" s="213" t="s">
        <v>578</v>
      </c>
    </row>
    <row r="175" ht="16.5" spans="1:17">
      <c r="A175" s="249">
        <v>605045</v>
      </c>
      <c r="B175" s="210" t="s">
        <v>791</v>
      </c>
      <c r="C175" s="229">
        <v>1516.496526</v>
      </c>
      <c r="D175" s="229">
        <v>1516.496526</v>
      </c>
      <c r="E175" s="229">
        <v>1508.496526</v>
      </c>
      <c r="F175" s="229">
        <v>8</v>
      </c>
      <c r="G175" s="229"/>
      <c r="H175" s="229"/>
      <c r="I175" s="229">
        <v>8</v>
      </c>
      <c r="J175" s="229"/>
      <c r="K175" s="229"/>
      <c r="L175" s="229"/>
      <c r="M175" s="229"/>
      <c r="N175" s="229"/>
      <c r="O175" s="229"/>
      <c r="P175" s="229"/>
      <c r="Q175" s="213" t="s">
        <v>578</v>
      </c>
    </row>
    <row r="176" ht="16.5" spans="1:17">
      <c r="A176" s="249">
        <v>605046</v>
      </c>
      <c r="B176" s="210" t="s">
        <v>792</v>
      </c>
      <c r="C176" s="229">
        <v>1625.258289</v>
      </c>
      <c r="D176" s="229">
        <v>1625.258289</v>
      </c>
      <c r="E176" s="229">
        <v>1625.258289</v>
      </c>
      <c r="F176" s="229"/>
      <c r="G176" s="229"/>
      <c r="H176" s="229"/>
      <c r="I176" s="229"/>
      <c r="J176" s="229"/>
      <c r="K176" s="229"/>
      <c r="L176" s="229"/>
      <c r="M176" s="229"/>
      <c r="N176" s="229"/>
      <c r="O176" s="229"/>
      <c r="P176" s="229"/>
      <c r="Q176" s="213" t="s">
        <v>578</v>
      </c>
    </row>
    <row r="177" ht="16.5" spans="1:17">
      <c r="A177" s="249">
        <v>605047</v>
      </c>
      <c r="B177" s="210" t="s">
        <v>793</v>
      </c>
      <c r="C177" s="229">
        <v>1738.965576</v>
      </c>
      <c r="D177" s="229">
        <v>1738.965576</v>
      </c>
      <c r="E177" s="229">
        <v>1738.965576</v>
      </c>
      <c r="F177" s="229"/>
      <c r="G177" s="229"/>
      <c r="H177" s="229"/>
      <c r="I177" s="229"/>
      <c r="J177" s="229"/>
      <c r="K177" s="229"/>
      <c r="L177" s="229"/>
      <c r="M177" s="229"/>
      <c r="N177" s="229"/>
      <c r="O177" s="229"/>
      <c r="P177" s="229"/>
      <c r="Q177" s="213" t="s">
        <v>578</v>
      </c>
    </row>
    <row r="178" ht="16.5" spans="1:17">
      <c r="A178" s="249">
        <v>605048</v>
      </c>
      <c r="B178" s="210" t="s">
        <v>794</v>
      </c>
      <c r="C178" s="229">
        <v>1730.132537</v>
      </c>
      <c r="D178" s="229">
        <v>1730.132537</v>
      </c>
      <c r="E178" s="229">
        <v>1730.132537</v>
      </c>
      <c r="F178" s="229"/>
      <c r="G178" s="229"/>
      <c r="H178" s="229"/>
      <c r="I178" s="229"/>
      <c r="J178" s="229"/>
      <c r="K178" s="229"/>
      <c r="L178" s="229"/>
      <c r="M178" s="229"/>
      <c r="N178" s="229"/>
      <c r="O178" s="229"/>
      <c r="P178" s="229"/>
      <c r="Q178" s="213" t="s">
        <v>578</v>
      </c>
    </row>
    <row r="179" ht="16.5" spans="1:17">
      <c r="A179" s="249">
        <v>605049</v>
      </c>
      <c r="B179" s="210" t="s">
        <v>795</v>
      </c>
      <c r="C179" s="229">
        <v>1459.546569</v>
      </c>
      <c r="D179" s="229">
        <v>1297.986569</v>
      </c>
      <c r="E179" s="229">
        <v>1297.986569</v>
      </c>
      <c r="F179" s="229"/>
      <c r="G179" s="229"/>
      <c r="H179" s="229"/>
      <c r="I179" s="229"/>
      <c r="J179" s="229">
        <v>161.56</v>
      </c>
      <c r="K179" s="229"/>
      <c r="L179" s="229"/>
      <c r="M179" s="229"/>
      <c r="N179" s="229"/>
      <c r="O179" s="229"/>
      <c r="P179" s="229"/>
      <c r="Q179" s="213" t="s">
        <v>578</v>
      </c>
    </row>
    <row r="180" ht="16.5" spans="1:17">
      <c r="A180" s="249">
        <v>605050</v>
      </c>
      <c r="B180" s="210" t="s">
        <v>796</v>
      </c>
      <c r="C180" s="229">
        <v>2560.781376</v>
      </c>
      <c r="D180" s="229">
        <v>2560.781376</v>
      </c>
      <c r="E180" s="229">
        <v>2560.781376</v>
      </c>
      <c r="F180" s="229"/>
      <c r="G180" s="229"/>
      <c r="H180" s="229"/>
      <c r="I180" s="229"/>
      <c r="J180" s="229"/>
      <c r="K180" s="229"/>
      <c r="L180" s="229"/>
      <c r="M180" s="229"/>
      <c r="N180" s="229"/>
      <c r="O180" s="229"/>
      <c r="P180" s="229"/>
      <c r="Q180" s="213" t="s">
        <v>578</v>
      </c>
    </row>
    <row r="181" ht="16.5" spans="1:17">
      <c r="A181" s="249">
        <v>605051</v>
      </c>
      <c r="B181" s="210" t="s">
        <v>797</v>
      </c>
      <c r="C181" s="229">
        <v>715.08</v>
      </c>
      <c r="D181" s="229">
        <v>715.08</v>
      </c>
      <c r="E181" s="229">
        <v>60.6</v>
      </c>
      <c r="F181" s="229">
        <v>654.48</v>
      </c>
      <c r="G181" s="229"/>
      <c r="H181" s="229"/>
      <c r="I181" s="229">
        <v>654.48</v>
      </c>
      <c r="J181" s="229"/>
      <c r="K181" s="229"/>
      <c r="L181" s="229"/>
      <c r="M181" s="229"/>
      <c r="N181" s="229"/>
      <c r="O181" s="229"/>
      <c r="P181" s="229"/>
      <c r="Q181" s="213" t="s">
        <v>578</v>
      </c>
    </row>
    <row r="182" ht="16.5" spans="1:17">
      <c r="A182" s="249">
        <v>605052</v>
      </c>
      <c r="B182" s="210" t="s">
        <v>798</v>
      </c>
      <c r="C182" s="229">
        <v>326.36</v>
      </c>
      <c r="D182" s="229">
        <v>326.36</v>
      </c>
      <c r="E182" s="229">
        <v>27.2</v>
      </c>
      <c r="F182" s="229">
        <v>299.16</v>
      </c>
      <c r="G182" s="229"/>
      <c r="H182" s="229"/>
      <c r="I182" s="229">
        <v>299.16</v>
      </c>
      <c r="J182" s="229"/>
      <c r="K182" s="229"/>
      <c r="L182" s="229"/>
      <c r="M182" s="229"/>
      <c r="N182" s="229"/>
      <c r="O182" s="229"/>
      <c r="P182" s="229"/>
      <c r="Q182" s="213" t="s">
        <v>578</v>
      </c>
    </row>
    <row r="183" ht="16.5" spans="1:17">
      <c r="A183" s="249">
        <v>606001</v>
      </c>
      <c r="B183" s="210" t="s">
        <v>799</v>
      </c>
      <c r="C183" s="229">
        <v>585.37102</v>
      </c>
      <c r="D183" s="229">
        <v>585.37102</v>
      </c>
      <c r="E183" s="229">
        <v>585.37102</v>
      </c>
      <c r="F183" s="229"/>
      <c r="G183" s="229"/>
      <c r="H183" s="229"/>
      <c r="I183" s="229"/>
      <c r="J183" s="229"/>
      <c r="K183" s="229"/>
      <c r="L183" s="229"/>
      <c r="M183" s="229"/>
      <c r="N183" s="229"/>
      <c r="O183" s="229"/>
      <c r="P183" s="229"/>
      <c r="Q183" s="213" t="s">
        <v>578</v>
      </c>
    </row>
    <row r="184" ht="16.5" spans="1:17">
      <c r="A184" s="249">
        <v>607001</v>
      </c>
      <c r="B184" s="210" t="s">
        <v>800</v>
      </c>
      <c r="C184" s="229">
        <v>385.317705</v>
      </c>
      <c r="D184" s="229">
        <v>385.317705</v>
      </c>
      <c r="E184" s="229">
        <v>385.317705</v>
      </c>
      <c r="F184" s="229"/>
      <c r="G184" s="229"/>
      <c r="H184" s="229"/>
      <c r="I184" s="229"/>
      <c r="J184" s="229"/>
      <c r="K184" s="229"/>
      <c r="L184" s="229"/>
      <c r="M184" s="229"/>
      <c r="N184" s="229"/>
      <c r="O184" s="229"/>
      <c r="P184" s="229"/>
      <c r="Q184" s="213" t="s">
        <v>578</v>
      </c>
    </row>
    <row r="185" ht="16.5" spans="1:17">
      <c r="A185" s="249">
        <v>608001</v>
      </c>
      <c r="B185" s="210" t="s">
        <v>801</v>
      </c>
      <c r="C185" s="229">
        <v>1077.553937</v>
      </c>
      <c r="D185" s="229">
        <v>1077.553937</v>
      </c>
      <c r="E185" s="229">
        <v>1077.553937</v>
      </c>
      <c r="F185" s="229"/>
      <c r="G185" s="229"/>
      <c r="H185" s="229"/>
      <c r="I185" s="229"/>
      <c r="J185" s="229"/>
      <c r="K185" s="229"/>
      <c r="L185" s="229"/>
      <c r="M185" s="229"/>
      <c r="N185" s="229"/>
      <c r="O185" s="229"/>
      <c r="P185" s="229"/>
      <c r="Q185" s="213" t="s">
        <v>578</v>
      </c>
    </row>
    <row r="186" ht="16.5" spans="1:17">
      <c r="A186" s="249" t="s">
        <v>802</v>
      </c>
      <c r="B186" s="210" t="s">
        <v>803</v>
      </c>
      <c r="C186" s="229">
        <v>689.705777</v>
      </c>
      <c r="D186" s="229">
        <v>689.705777</v>
      </c>
      <c r="E186" s="229">
        <v>689.705777</v>
      </c>
      <c r="F186" s="229"/>
      <c r="G186" s="229"/>
      <c r="H186" s="229"/>
      <c r="I186" s="229"/>
      <c r="J186" s="229"/>
      <c r="K186" s="229"/>
      <c r="L186" s="229"/>
      <c r="M186" s="229"/>
      <c r="N186" s="229"/>
      <c r="O186" s="229"/>
      <c r="P186" s="229"/>
      <c r="Q186" s="213" t="s">
        <v>578</v>
      </c>
    </row>
    <row r="187" ht="16.5" spans="1:17">
      <c r="A187" s="249" t="s">
        <v>804</v>
      </c>
      <c r="B187" s="210" t="s">
        <v>805</v>
      </c>
      <c r="C187" s="229">
        <v>166.347698</v>
      </c>
      <c r="D187" s="229">
        <v>166.347698</v>
      </c>
      <c r="E187" s="229">
        <v>166.347698</v>
      </c>
      <c r="F187" s="229"/>
      <c r="G187" s="229"/>
      <c r="H187" s="229"/>
      <c r="I187" s="229"/>
      <c r="J187" s="229"/>
      <c r="K187" s="229"/>
      <c r="L187" s="229"/>
      <c r="M187" s="229"/>
      <c r="N187" s="229"/>
      <c r="O187" s="229"/>
      <c r="P187" s="229"/>
      <c r="Q187" s="213" t="s">
        <v>578</v>
      </c>
    </row>
    <row r="188" ht="16.5" spans="1:17">
      <c r="A188" s="250"/>
      <c r="B188" s="208" t="s">
        <v>806</v>
      </c>
      <c r="C188" s="205">
        <f>C189+C190+C191</f>
        <v>9203.27</v>
      </c>
      <c r="D188" s="205">
        <f>D189+D190+D191</f>
        <v>9203.27</v>
      </c>
      <c r="E188" s="205">
        <f>E189+E190+E191</f>
        <v>9203.27</v>
      </c>
      <c r="F188" s="205"/>
      <c r="G188" s="205"/>
      <c r="H188" s="205"/>
      <c r="I188" s="205"/>
      <c r="J188" s="205"/>
      <c r="K188" s="205"/>
      <c r="L188" s="205"/>
      <c r="M188" s="205"/>
      <c r="N188" s="205"/>
      <c r="O188" s="205"/>
      <c r="P188" s="205"/>
      <c r="Q188" s="213" t="s">
        <v>578</v>
      </c>
    </row>
    <row r="189" ht="16.5" spans="1:17">
      <c r="A189" s="249">
        <v>801001</v>
      </c>
      <c r="B189" s="210" t="s">
        <v>807</v>
      </c>
      <c r="C189" s="229">
        <v>205</v>
      </c>
      <c r="D189" s="229">
        <v>205</v>
      </c>
      <c r="E189" s="229">
        <v>205</v>
      </c>
      <c r="F189" s="229"/>
      <c r="G189" s="229"/>
      <c r="H189" s="229"/>
      <c r="I189" s="229"/>
      <c r="J189" s="229"/>
      <c r="K189" s="229"/>
      <c r="L189" s="229"/>
      <c r="M189" s="229"/>
      <c r="N189" s="229"/>
      <c r="O189" s="229"/>
      <c r="P189" s="229"/>
      <c r="Q189" s="213" t="s">
        <v>578</v>
      </c>
    </row>
    <row r="190" ht="16.5" spans="1:17">
      <c r="A190" s="249">
        <v>802001</v>
      </c>
      <c r="B190" s="210" t="s">
        <v>808</v>
      </c>
      <c r="C190" s="229">
        <v>1998.27</v>
      </c>
      <c r="D190" s="229">
        <v>1998.27</v>
      </c>
      <c r="E190" s="229">
        <v>1998.27</v>
      </c>
      <c r="F190" s="229"/>
      <c r="G190" s="229"/>
      <c r="H190" s="229"/>
      <c r="I190" s="229"/>
      <c r="J190" s="229"/>
      <c r="K190" s="229"/>
      <c r="L190" s="229"/>
      <c r="M190" s="229"/>
      <c r="N190" s="229"/>
      <c r="O190" s="229"/>
      <c r="P190" s="229"/>
      <c r="Q190" s="213" t="s">
        <v>578</v>
      </c>
    </row>
    <row r="191" ht="16.5" spans="1:17">
      <c r="A191" s="249">
        <v>899001</v>
      </c>
      <c r="B191" s="254" t="s">
        <v>809</v>
      </c>
      <c r="C191" s="229">
        <v>7000</v>
      </c>
      <c r="D191" s="229">
        <v>7000</v>
      </c>
      <c r="E191" s="229">
        <v>7000</v>
      </c>
      <c r="F191" s="229"/>
      <c r="G191" s="229"/>
      <c r="H191" s="229"/>
      <c r="I191" s="229"/>
      <c r="J191" s="229"/>
      <c r="K191" s="229"/>
      <c r="L191" s="229"/>
      <c r="M191" s="229"/>
      <c r="N191" s="229"/>
      <c r="O191" s="229"/>
      <c r="P191" s="229"/>
      <c r="Q191" s="213" t="s">
        <v>578</v>
      </c>
    </row>
    <row r="192" ht="16.5" spans="1:17">
      <c r="A192" s="250"/>
      <c r="B192" s="208" t="s">
        <v>810</v>
      </c>
      <c r="C192" s="205">
        <f t="shared" ref="C192:F192" si="8">SUM(C193,C199,C207,C214,C220,C228,C234,C242,C250,C256,C262,C268,C274,C280,C286,C292)</f>
        <v>143805.940183</v>
      </c>
      <c r="D192" s="205">
        <f t="shared" si="8"/>
        <v>143805.940183</v>
      </c>
      <c r="E192" s="205">
        <f t="shared" si="8"/>
        <v>94125.680183</v>
      </c>
      <c r="F192" s="205">
        <f t="shared" si="8"/>
        <v>49680.26</v>
      </c>
      <c r="G192" s="205"/>
      <c r="H192" s="205"/>
      <c r="I192" s="205">
        <f>SUM(I193,I199,I207,I214,I220,I228,I234,I242,I250,I256,I262,I268,I274,I280,I286,I292)</f>
        <v>49680.26</v>
      </c>
      <c r="J192" s="205"/>
      <c r="K192" s="205"/>
      <c r="L192" s="205"/>
      <c r="M192" s="205"/>
      <c r="N192" s="205"/>
      <c r="O192" s="205"/>
      <c r="P192" s="205"/>
      <c r="Q192" s="213" t="s">
        <v>578</v>
      </c>
    </row>
    <row r="193" hidden="1" spans="1:17">
      <c r="A193" s="250"/>
      <c r="B193" s="255" t="s">
        <v>811</v>
      </c>
      <c r="C193" s="256">
        <f>SUMIF($A:$A,"806???",C:C)</f>
        <v>2185.367995</v>
      </c>
      <c r="D193" s="256">
        <f>SUMIF($A:$A,"806???",D:D)</f>
        <v>2185.367995</v>
      </c>
      <c r="E193" s="256">
        <f>SUMIF($A:$A,"806???",E:E)</f>
        <v>2185.367995</v>
      </c>
      <c r="F193" s="256">
        <f>SUMIF($A:$A,"806???",F:F)</f>
        <v>0</v>
      </c>
      <c r="G193" s="256">
        <f>SUMIF($A:$A,"806???",G:G)</f>
        <v>0</v>
      </c>
      <c r="H193" s="256">
        <f>SUMIF($A:$A,"806???",H:H)</f>
        <v>0</v>
      </c>
      <c r="I193" s="256">
        <f>SUMIF($A:$A,"806???",I:I)</f>
        <v>0</v>
      </c>
      <c r="J193" s="256">
        <f>SUMIF($A:$A,"806???",J:J)</f>
        <v>0</v>
      </c>
      <c r="K193" s="256">
        <f>SUMIF($A:$A,"806???",K:K)</f>
        <v>0</v>
      </c>
      <c r="L193" s="256">
        <f>SUMIF($A:$A,"806???",L:L)</f>
        <v>0</v>
      </c>
      <c r="M193" s="256">
        <f>SUMIF($A:$A,"806???",M:M)</f>
        <v>0</v>
      </c>
      <c r="N193" s="256">
        <f>SUMIF($A:$A,"806???",N:N)</f>
        <v>0</v>
      </c>
      <c r="O193" s="256">
        <f>SUMIF($A:$A,"806???",O:O)</f>
        <v>0</v>
      </c>
      <c r="P193" s="256">
        <f>SUMIF($A:$A,"806???",P:P)</f>
        <v>0</v>
      </c>
      <c r="Q193" s="258"/>
    </row>
    <row r="194" hidden="1" spans="1:17">
      <c r="A194" s="250" t="s">
        <v>812</v>
      </c>
      <c r="B194" s="217" t="s">
        <v>813</v>
      </c>
      <c r="C194" s="257">
        <v>1463.126741</v>
      </c>
      <c r="D194" s="257">
        <v>1463.126741</v>
      </c>
      <c r="E194" s="257">
        <v>1463.126741</v>
      </c>
      <c r="F194" s="257"/>
      <c r="G194" s="257"/>
      <c r="H194" s="257"/>
      <c r="I194" s="257"/>
      <c r="J194" s="257"/>
      <c r="K194" s="257"/>
      <c r="L194" s="257"/>
      <c r="M194" s="257"/>
      <c r="N194" s="257"/>
      <c r="O194" s="257"/>
      <c r="P194" s="257"/>
      <c r="Q194" s="258"/>
    </row>
    <row r="195" hidden="1" spans="1:17">
      <c r="A195" s="250" t="s">
        <v>814</v>
      </c>
      <c r="B195" s="217" t="s">
        <v>815</v>
      </c>
      <c r="C195" s="257">
        <v>250.633334</v>
      </c>
      <c r="D195" s="257">
        <v>250.633334</v>
      </c>
      <c r="E195" s="257">
        <v>250.633334</v>
      </c>
      <c r="F195" s="257"/>
      <c r="G195" s="257"/>
      <c r="H195" s="257"/>
      <c r="I195" s="257"/>
      <c r="J195" s="257"/>
      <c r="K195" s="257"/>
      <c r="L195" s="257"/>
      <c r="M195" s="257"/>
      <c r="N195" s="257"/>
      <c r="O195" s="257"/>
      <c r="P195" s="257"/>
      <c r="Q195" s="258"/>
    </row>
    <row r="196" hidden="1" spans="1:17">
      <c r="A196" s="250" t="s">
        <v>816</v>
      </c>
      <c r="B196" s="217" t="s">
        <v>817</v>
      </c>
      <c r="C196" s="257">
        <v>254.904405</v>
      </c>
      <c r="D196" s="257">
        <v>254.904405</v>
      </c>
      <c r="E196" s="257">
        <v>254.904405</v>
      </c>
      <c r="F196" s="257"/>
      <c r="G196" s="257"/>
      <c r="H196" s="257"/>
      <c r="I196" s="257"/>
      <c r="J196" s="257"/>
      <c r="K196" s="257"/>
      <c r="L196" s="257"/>
      <c r="M196" s="257"/>
      <c r="N196" s="257"/>
      <c r="O196" s="257"/>
      <c r="P196" s="257"/>
      <c r="Q196" s="258"/>
    </row>
    <row r="197" hidden="1" spans="1:17">
      <c r="A197" s="250" t="s">
        <v>818</v>
      </c>
      <c r="B197" s="217" t="s">
        <v>819</v>
      </c>
      <c r="C197" s="257">
        <v>150.714622</v>
      </c>
      <c r="D197" s="257">
        <v>150.714622</v>
      </c>
      <c r="E197" s="257">
        <v>150.714622</v>
      </c>
      <c r="F197" s="257"/>
      <c r="G197" s="257"/>
      <c r="H197" s="257"/>
      <c r="I197" s="257"/>
      <c r="J197" s="257"/>
      <c r="K197" s="257"/>
      <c r="L197" s="257"/>
      <c r="M197" s="257"/>
      <c r="N197" s="257"/>
      <c r="O197" s="257"/>
      <c r="P197" s="257"/>
      <c r="Q197" s="258"/>
    </row>
    <row r="198" hidden="1" spans="1:17">
      <c r="A198" s="250" t="s">
        <v>820</v>
      </c>
      <c r="B198" s="217" t="s">
        <v>821</v>
      </c>
      <c r="C198" s="257">
        <v>65.988893</v>
      </c>
      <c r="D198" s="257">
        <v>65.988893</v>
      </c>
      <c r="E198" s="257">
        <v>65.988893</v>
      </c>
      <c r="F198" s="257"/>
      <c r="G198" s="257"/>
      <c r="H198" s="257"/>
      <c r="I198" s="257"/>
      <c r="J198" s="257"/>
      <c r="K198" s="257"/>
      <c r="L198" s="257"/>
      <c r="M198" s="257"/>
      <c r="N198" s="257"/>
      <c r="O198" s="257"/>
      <c r="P198" s="257"/>
      <c r="Q198" s="258"/>
    </row>
    <row r="199" hidden="1" spans="1:17">
      <c r="A199" s="250"/>
      <c r="B199" s="255" t="s">
        <v>822</v>
      </c>
      <c r="C199" s="256">
        <f>SUMIF($A:$A,"807???",C:C)</f>
        <v>22658.741392</v>
      </c>
      <c r="D199" s="256">
        <f>SUMIF($A:$A,"807???",D:D)</f>
        <v>22658.741392</v>
      </c>
      <c r="E199" s="256">
        <f>SUMIF($A:$A,"807???",E:E)</f>
        <v>9654.741392</v>
      </c>
      <c r="F199" s="256">
        <f>SUMIF($A:$A,"807???",F:F)</f>
        <v>13004</v>
      </c>
      <c r="G199" s="256">
        <f>SUMIF($A:$A,"807???",G:G)</f>
        <v>0</v>
      </c>
      <c r="H199" s="256">
        <f>SUMIF($A:$A,"807???",H:H)</f>
        <v>0</v>
      </c>
      <c r="I199" s="256">
        <f>SUMIF($A:$A,"807???",I:I)</f>
        <v>13004</v>
      </c>
      <c r="J199" s="256">
        <f>SUMIF($A:$A,"807???",J:J)</f>
        <v>0</v>
      </c>
      <c r="K199" s="256">
        <f>SUMIF($A:$A,"807???",K:K)</f>
        <v>0</v>
      </c>
      <c r="L199" s="256">
        <f>SUMIF($A:$A,"807???",L:L)</f>
        <v>0</v>
      </c>
      <c r="M199" s="256">
        <f>SUMIF($A:$A,"807???",M:M)</f>
        <v>0</v>
      </c>
      <c r="N199" s="256">
        <f>SUMIF($A:$A,"807???",N:N)</f>
        <v>0</v>
      </c>
      <c r="O199" s="256">
        <f>SUMIF($A:$A,"807???",O:O)</f>
        <v>0</v>
      </c>
      <c r="P199" s="256">
        <f>SUMIF($A:$A,"807???",P:P)</f>
        <v>0</v>
      </c>
      <c r="Q199" s="258"/>
    </row>
    <row r="200" hidden="1" spans="1:17">
      <c r="A200" s="250" t="s">
        <v>823</v>
      </c>
      <c r="B200" s="217" t="s">
        <v>824</v>
      </c>
      <c r="C200" s="257">
        <v>21181.964937</v>
      </c>
      <c r="D200" s="257">
        <v>21181.964937</v>
      </c>
      <c r="E200" s="257">
        <v>8177.964937</v>
      </c>
      <c r="F200" s="257">
        <v>13004</v>
      </c>
      <c r="G200" s="257"/>
      <c r="H200" s="257"/>
      <c r="I200" s="257">
        <v>13004</v>
      </c>
      <c r="J200" s="257"/>
      <c r="K200" s="257"/>
      <c r="L200" s="257"/>
      <c r="M200" s="257"/>
      <c r="N200" s="257"/>
      <c r="O200" s="257"/>
      <c r="P200" s="257"/>
      <c r="Q200" s="258"/>
    </row>
    <row r="201" hidden="1" spans="1:17">
      <c r="A201" s="250" t="s">
        <v>825</v>
      </c>
      <c r="B201" s="217" t="s">
        <v>826</v>
      </c>
      <c r="C201" s="257">
        <v>343.083742</v>
      </c>
      <c r="D201" s="257">
        <v>343.083742</v>
      </c>
      <c r="E201" s="257">
        <v>343.083742</v>
      </c>
      <c r="F201" s="257"/>
      <c r="G201" s="257"/>
      <c r="H201" s="257"/>
      <c r="I201" s="257"/>
      <c r="J201" s="257"/>
      <c r="K201" s="257"/>
      <c r="L201" s="257"/>
      <c r="M201" s="257"/>
      <c r="N201" s="257"/>
      <c r="O201" s="257"/>
      <c r="P201" s="257"/>
      <c r="Q201" s="258"/>
    </row>
    <row r="202" hidden="1" spans="1:17">
      <c r="A202" s="250" t="s">
        <v>827</v>
      </c>
      <c r="B202" s="217" t="s">
        <v>828</v>
      </c>
      <c r="C202" s="257">
        <v>18.446455</v>
      </c>
      <c r="D202" s="257">
        <v>18.446455</v>
      </c>
      <c r="E202" s="257">
        <v>18.446455</v>
      </c>
      <c r="F202" s="257"/>
      <c r="G202" s="257"/>
      <c r="H202" s="257"/>
      <c r="I202" s="257"/>
      <c r="J202" s="257"/>
      <c r="K202" s="257"/>
      <c r="L202" s="257"/>
      <c r="M202" s="257"/>
      <c r="N202" s="257"/>
      <c r="O202" s="257"/>
      <c r="P202" s="257"/>
      <c r="Q202" s="258"/>
    </row>
    <row r="203" hidden="1" spans="1:17">
      <c r="A203" s="250" t="s">
        <v>829</v>
      </c>
      <c r="B203" s="217" t="s">
        <v>830</v>
      </c>
      <c r="C203" s="257">
        <v>16.05499</v>
      </c>
      <c r="D203" s="257">
        <v>16.05499</v>
      </c>
      <c r="E203" s="257">
        <v>16.05499</v>
      </c>
      <c r="F203" s="257"/>
      <c r="G203" s="257"/>
      <c r="H203" s="257"/>
      <c r="I203" s="257"/>
      <c r="J203" s="257"/>
      <c r="K203" s="257"/>
      <c r="L203" s="257"/>
      <c r="M203" s="257"/>
      <c r="N203" s="257"/>
      <c r="O203" s="257"/>
      <c r="P203" s="257"/>
      <c r="Q203" s="258"/>
    </row>
    <row r="204" hidden="1" spans="1:17">
      <c r="A204" s="250" t="s">
        <v>831</v>
      </c>
      <c r="B204" s="217" t="s">
        <v>832</v>
      </c>
      <c r="C204" s="257">
        <v>293.566022</v>
      </c>
      <c r="D204" s="257">
        <v>293.566022</v>
      </c>
      <c r="E204" s="257">
        <v>293.566022</v>
      </c>
      <c r="F204" s="257"/>
      <c r="G204" s="257"/>
      <c r="H204" s="257"/>
      <c r="I204" s="257"/>
      <c r="J204" s="257"/>
      <c r="K204" s="257"/>
      <c r="L204" s="257"/>
      <c r="M204" s="257"/>
      <c r="N204" s="257"/>
      <c r="O204" s="257"/>
      <c r="P204" s="257"/>
      <c r="Q204" s="258"/>
    </row>
    <row r="205" hidden="1" spans="1:17">
      <c r="A205" s="250" t="s">
        <v>833</v>
      </c>
      <c r="B205" s="217" t="s">
        <v>834</v>
      </c>
      <c r="C205" s="257">
        <v>706.246358</v>
      </c>
      <c r="D205" s="257">
        <v>706.246358</v>
      </c>
      <c r="E205" s="257">
        <v>706.246358</v>
      </c>
      <c r="F205" s="257"/>
      <c r="G205" s="257"/>
      <c r="H205" s="257"/>
      <c r="I205" s="257"/>
      <c r="J205" s="257"/>
      <c r="K205" s="257"/>
      <c r="L205" s="257"/>
      <c r="M205" s="257"/>
      <c r="N205" s="257"/>
      <c r="O205" s="257"/>
      <c r="P205" s="257"/>
      <c r="Q205" s="258"/>
    </row>
    <row r="206" hidden="1" spans="1:17">
      <c r="A206" s="250" t="s">
        <v>835</v>
      </c>
      <c r="B206" s="217" t="s">
        <v>836</v>
      </c>
      <c r="C206" s="257">
        <v>99.378888</v>
      </c>
      <c r="D206" s="257">
        <v>99.378888</v>
      </c>
      <c r="E206" s="257">
        <v>99.378888</v>
      </c>
      <c r="F206" s="257"/>
      <c r="G206" s="257"/>
      <c r="H206" s="257"/>
      <c r="I206" s="257"/>
      <c r="J206" s="257"/>
      <c r="K206" s="257"/>
      <c r="L206" s="257"/>
      <c r="M206" s="257"/>
      <c r="N206" s="257"/>
      <c r="O206" s="257"/>
      <c r="P206" s="257"/>
      <c r="Q206" s="258"/>
    </row>
    <row r="207" hidden="1" spans="1:17">
      <c r="A207" s="250"/>
      <c r="B207" s="255" t="s">
        <v>837</v>
      </c>
      <c r="C207" s="256">
        <f>SUMIF($A:$A,"808???",C:C)</f>
        <v>13405.398314</v>
      </c>
      <c r="D207" s="256">
        <f>SUMIF($A:$A,"808???",D:D)</f>
        <v>13405.398314</v>
      </c>
      <c r="E207" s="256">
        <f>SUMIF($A:$A,"808???",E:E)</f>
        <v>7405.398314</v>
      </c>
      <c r="F207" s="256">
        <f>SUMIF($A:$A,"808???",F:F)</f>
        <v>6000</v>
      </c>
      <c r="G207" s="256">
        <f>SUMIF($A:$A,"808???",G:G)</f>
        <v>0</v>
      </c>
      <c r="H207" s="256">
        <f>SUMIF($A:$A,"808???",H:H)</f>
        <v>0</v>
      </c>
      <c r="I207" s="256">
        <f>SUMIF($A:$A,"808???",I:I)</f>
        <v>6000</v>
      </c>
      <c r="J207" s="256">
        <f>SUMIF($A:$A,"808???",J:J)</f>
        <v>0</v>
      </c>
      <c r="K207" s="256">
        <f>SUMIF($A:$A,"808???",K:K)</f>
        <v>0</v>
      </c>
      <c r="L207" s="256">
        <f>SUMIF($A:$A,"808???",L:L)</f>
        <v>0</v>
      </c>
      <c r="M207" s="256">
        <f>SUMIF($A:$A,"808???",M:M)</f>
        <v>0</v>
      </c>
      <c r="N207" s="256">
        <f>SUMIF($A:$A,"808???",N:N)</f>
        <v>0</v>
      </c>
      <c r="O207" s="256">
        <f>SUMIF($A:$A,"808???",O:O)</f>
        <v>0</v>
      </c>
      <c r="P207" s="256">
        <f>SUMIF($A:$A,"808???",P:P)</f>
        <v>0</v>
      </c>
      <c r="Q207" s="258"/>
    </row>
    <row r="208" hidden="1" spans="1:17">
      <c r="A208" s="250" t="s">
        <v>838</v>
      </c>
      <c r="B208" s="217" t="s">
        <v>839</v>
      </c>
      <c r="C208" s="257">
        <v>12944.028123</v>
      </c>
      <c r="D208" s="257">
        <v>12944.028123</v>
      </c>
      <c r="E208" s="257">
        <v>6944.028123</v>
      </c>
      <c r="F208" s="257">
        <v>6000</v>
      </c>
      <c r="G208" s="257"/>
      <c r="H208" s="257"/>
      <c r="I208" s="257">
        <v>6000</v>
      </c>
      <c r="J208" s="257"/>
      <c r="K208" s="257"/>
      <c r="L208" s="257"/>
      <c r="M208" s="257"/>
      <c r="N208" s="257"/>
      <c r="O208" s="257"/>
      <c r="P208" s="257"/>
      <c r="Q208" s="258"/>
    </row>
    <row r="209" hidden="1" spans="1:17">
      <c r="A209" s="250" t="s">
        <v>840</v>
      </c>
      <c r="B209" s="217" t="s">
        <v>841</v>
      </c>
      <c r="C209" s="257">
        <v>256.337861</v>
      </c>
      <c r="D209" s="257">
        <v>256.337861</v>
      </c>
      <c r="E209" s="257">
        <v>256.337861</v>
      </c>
      <c r="F209" s="257"/>
      <c r="G209" s="257"/>
      <c r="H209" s="257"/>
      <c r="I209" s="257"/>
      <c r="J209" s="257"/>
      <c r="K209" s="257"/>
      <c r="L209" s="257"/>
      <c r="M209" s="257"/>
      <c r="N209" s="257"/>
      <c r="O209" s="257"/>
      <c r="P209" s="257"/>
      <c r="Q209" s="258"/>
    </row>
    <row r="210" hidden="1" spans="1:17">
      <c r="A210" s="250" t="s">
        <v>842</v>
      </c>
      <c r="B210" s="254" t="s">
        <v>843</v>
      </c>
      <c r="C210" s="257">
        <v>15.488086</v>
      </c>
      <c r="D210" s="257">
        <v>15.488086</v>
      </c>
      <c r="E210" s="257">
        <v>15.488086</v>
      </c>
      <c r="F210" s="257"/>
      <c r="G210" s="257"/>
      <c r="H210" s="257"/>
      <c r="I210" s="257"/>
      <c r="J210" s="257"/>
      <c r="K210" s="257"/>
      <c r="L210" s="257"/>
      <c r="M210" s="257"/>
      <c r="N210" s="257"/>
      <c r="O210" s="257"/>
      <c r="P210" s="257"/>
      <c r="Q210" s="258"/>
    </row>
    <row r="211" hidden="1" spans="1:17">
      <c r="A211" s="250" t="s">
        <v>844</v>
      </c>
      <c r="B211" s="217" t="s">
        <v>845</v>
      </c>
      <c r="C211" s="257">
        <v>74.281439</v>
      </c>
      <c r="D211" s="257">
        <v>74.281439</v>
      </c>
      <c r="E211" s="257">
        <v>74.281439</v>
      </c>
      <c r="F211" s="257"/>
      <c r="G211" s="257"/>
      <c r="H211" s="257"/>
      <c r="I211" s="257"/>
      <c r="J211" s="257"/>
      <c r="K211" s="257"/>
      <c r="L211" s="257"/>
      <c r="M211" s="257"/>
      <c r="N211" s="257"/>
      <c r="O211" s="257"/>
      <c r="P211" s="257"/>
      <c r="Q211" s="258"/>
    </row>
    <row r="212" hidden="1" spans="1:17">
      <c r="A212" s="250" t="s">
        <v>846</v>
      </c>
      <c r="B212" s="217" t="s">
        <v>847</v>
      </c>
      <c r="C212" s="257">
        <v>81.350682</v>
      </c>
      <c r="D212" s="257">
        <v>81.350682</v>
      </c>
      <c r="E212" s="257">
        <v>81.350682</v>
      </c>
      <c r="F212" s="257"/>
      <c r="G212" s="257"/>
      <c r="H212" s="257"/>
      <c r="I212" s="257"/>
      <c r="J212" s="257"/>
      <c r="K212" s="257"/>
      <c r="L212" s="257"/>
      <c r="M212" s="257"/>
      <c r="N212" s="257"/>
      <c r="O212" s="257"/>
      <c r="P212" s="257"/>
      <c r="Q212" s="258"/>
    </row>
    <row r="213" hidden="1" spans="1:17">
      <c r="A213" s="250" t="s">
        <v>848</v>
      </c>
      <c r="B213" s="217" t="s">
        <v>849</v>
      </c>
      <c r="C213" s="257">
        <v>33.912123</v>
      </c>
      <c r="D213" s="257">
        <v>33.912123</v>
      </c>
      <c r="E213" s="257">
        <v>33.912123</v>
      </c>
      <c r="F213" s="257"/>
      <c r="G213" s="257"/>
      <c r="H213" s="257"/>
      <c r="I213" s="257"/>
      <c r="J213" s="257"/>
      <c r="K213" s="257"/>
      <c r="L213" s="257"/>
      <c r="M213" s="257"/>
      <c r="N213" s="257"/>
      <c r="O213" s="257"/>
      <c r="P213" s="257"/>
      <c r="Q213" s="258"/>
    </row>
    <row r="214" hidden="1" spans="1:17">
      <c r="A214" s="250"/>
      <c r="B214" s="255" t="s">
        <v>850</v>
      </c>
      <c r="C214" s="256">
        <f>SUMIF($A:$A,"809???",C:C)</f>
        <v>4670.617876</v>
      </c>
      <c r="D214" s="256">
        <f>SUMIF($A:$A,"809???",D:D)</f>
        <v>4670.617876</v>
      </c>
      <c r="E214" s="256">
        <f>SUMIF($A:$A,"809???",E:E)</f>
        <v>2670.617876</v>
      </c>
      <c r="F214" s="256">
        <f>SUMIF($A:$A,"809???",F:F)</f>
        <v>2000</v>
      </c>
      <c r="G214" s="256">
        <f>SUMIF($A:$A,"809???",G:G)</f>
        <v>0</v>
      </c>
      <c r="H214" s="256">
        <f>SUMIF($A:$A,"809???",H:H)</f>
        <v>0</v>
      </c>
      <c r="I214" s="256">
        <f>SUMIF($A:$A,"809???",I:I)</f>
        <v>2000</v>
      </c>
      <c r="J214" s="256">
        <f>SUMIF($A:$A,"809???",J:J)</f>
        <v>0</v>
      </c>
      <c r="K214" s="256">
        <f>SUMIF($A:$A,"809???",K:K)</f>
        <v>0</v>
      </c>
      <c r="L214" s="256">
        <f>SUMIF($A:$A,"809???",L:L)</f>
        <v>0</v>
      </c>
      <c r="M214" s="256">
        <f>SUMIF($A:$A,"809???",M:M)</f>
        <v>0</v>
      </c>
      <c r="N214" s="256">
        <f>SUMIF($A:$A,"809???",N:N)</f>
        <v>0</v>
      </c>
      <c r="O214" s="256">
        <f>SUMIF($A:$A,"809???",O:O)</f>
        <v>0</v>
      </c>
      <c r="P214" s="256">
        <f>SUMIF($A:$A,"809???",P:P)</f>
        <v>0</v>
      </c>
      <c r="Q214" s="258"/>
    </row>
    <row r="215" hidden="1" spans="1:17">
      <c r="A215" s="250" t="s">
        <v>851</v>
      </c>
      <c r="B215" s="217" t="s">
        <v>852</v>
      </c>
      <c r="C215" s="257">
        <v>4310.547894</v>
      </c>
      <c r="D215" s="257">
        <v>4310.547894</v>
      </c>
      <c r="E215" s="257">
        <v>2310.547894</v>
      </c>
      <c r="F215" s="257">
        <v>2000</v>
      </c>
      <c r="G215" s="257"/>
      <c r="H215" s="257"/>
      <c r="I215" s="257">
        <v>2000</v>
      </c>
      <c r="J215" s="257"/>
      <c r="K215" s="257"/>
      <c r="L215" s="257"/>
      <c r="M215" s="257"/>
      <c r="N215" s="257"/>
      <c r="O215" s="257"/>
      <c r="P215" s="257"/>
      <c r="Q215" s="258"/>
    </row>
    <row r="216" hidden="1" spans="1:17">
      <c r="A216" s="250" t="s">
        <v>853</v>
      </c>
      <c r="B216" s="217" t="s">
        <v>854</v>
      </c>
      <c r="C216" s="257">
        <v>269.75145</v>
      </c>
      <c r="D216" s="257">
        <v>269.75145</v>
      </c>
      <c r="E216" s="257">
        <v>269.75145</v>
      </c>
      <c r="F216" s="257"/>
      <c r="G216" s="257"/>
      <c r="H216" s="257"/>
      <c r="I216" s="257"/>
      <c r="J216" s="257"/>
      <c r="K216" s="257"/>
      <c r="L216" s="257"/>
      <c r="M216" s="257"/>
      <c r="N216" s="257"/>
      <c r="O216" s="257"/>
      <c r="P216" s="257"/>
      <c r="Q216" s="258"/>
    </row>
    <row r="217" hidden="1" spans="1:17">
      <c r="A217" s="250" t="s">
        <v>855</v>
      </c>
      <c r="B217" s="217" t="s">
        <v>856</v>
      </c>
      <c r="C217" s="257">
        <v>15.906661</v>
      </c>
      <c r="D217" s="257">
        <v>15.906661</v>
      </c>
      <c r="E217" s="257">
        <v>15.906661</v>
      </c>
      <c r="F217" s="257"/>
      <c r="G217" s="257"/>
      <c r="H217" s="257"/>
      <c r="I217" s="257"/>
      <c r="J217" s="257"/>
      <c r="K217" s="257"/>
      <c r="L217" s="257"/>
      <c r="M217" s="257"/>
      <c r="N217" s="257"/>
      <c r="O217" s="257"/>
      <c r="P217" s="257"/>
      <c r="Q217" s="258"/>
    </row>
    <row r="218" hidden="1" spans="1:17">
      <c r="A218" s="250" t="s">
        <v>857</v>
      </c>
      <c r="B218" s="217" t="s">
        <v>858</v>
      </c>
      <c r="C218" s="257">
        <v>40.878354</v>
      </c>
      <c r="D218" s="257">
        <v>40.878354</v>
      </c>
      <c r="E218" s="257">
        <v>40.878354</v>
      </c>
      <c r="F218" s="257"/>
      <c r="G218" s="257"/>
      <c r="H218" s="257"/>
      <c r="I218" s="257"/>
      <c r="J218" s="257"/>
      <c r="K218" s="257"/>
      <c r="L218" s="257"/>
      <c r="M218" s="257"/>
      <c r="N218" s="257"/>
      <c r="O218" s="257"/>
      <c r="P218" s="257"/>
      <c r="Q218" s="258"/>
    </row>
    <row r="219" hidden="1" spans="1:17">
      <c r="A219" s="250" t="s">
        <v>859</v>
      </c>
      <c r="B219" s="217" t="s">
        <v>860</v>
      </c>
      <c r="C219" s="257">
        <v>33.533517</v>
      </c>
      <c r="D219" s="257">
        <v>33.533517</v>
      </c>
      <c r="E219" s="257">
        <v>33.533517</v>
      </c>
      <c r="F219" s="257"/>
      <c r="G219" s="257"/>
      <c r="H219" s="257"/>
      <c r="I219" s="257"/>
      <c r="J219" s="257"/>
      <c r="K219" s="257"/>
      <c r="L219" s="257"/>
      <c r="M219" s="257"/>
      <c r="N219" s="257"/>
      <c r="O219" s="257"/>
      <c r="P219" s="257"/>
      <c r="Q219" s="258"/>
    </row>
    <row r="220" hidden="1" spans="1:17">
      <c r="A220" s="250"/>
      <c r="B220" s="255" t="s">
        <v>861</v>
      </c>
      <c r="C220" s="256">
        <f>SUMIF($A:$A,"810???",C:C)</f>
        <v>15680.455195</v>
      </c>
      <c r="D220" s="256">
        <f>SUMIF($A:$A,"810???",D:D)</f>
        <v>15680.455195</v>
      </c>
      <c r="E220" s="256">
        <f>SUMIF($A:$A,"810???",E:E)</f>
        <v>6380.455195</v>
      </c>
      <c r="F220" s="256">
        <f>SUMIF($A:$A,"810???",F:F)</f>
        <v>9300</v>
      </c>
      <c r="G220" s="256">
        <f>SUMIF($A:$A,"810???",G:G)</f>
        <v>0</v>
      </c>
      <c r="H220" s="256">
        <f>SUMIF($A:$A,"810???",H:H)</f>
        <v>0</v>
      </c>
      <c r="I220" s="256">
        <f>SUMIF($A:$A,"810???",I:I)</f>
        <v>9300</v>
      </c>
      <c r="J220" s="256">
        <f>SUMIF($A:$A,"810???",J:J)</f>
        <v>0</v>
      </c>
      <c r="K220" s="256">
        <f>SUMIF($A:$A,"810???",K:K)</f>
        <v>0</v>
      </c>
      <c r="L220" s="256">
        <f>SUMIF($A:$A,"810???",L:L)</f>
        <v>0</v>
      </c>
      <c r="M220" s="256">
        <f>SUMIF($A:$A,"810???",M:M)</f>
        <v>0</v>
      </c>
      <c r="N220" s="256">
        <f>SUMIF($A:$A,"810???",N:N)</f>
        <v>0</v>
      </c>
      <c r="O220" s="256">
        <f>SUMIF($A:$A,"810???",O:O)</f>
        <v>0</v>
      </c>
      <c r="P220" s="256">
        <f>SUMIF($A:$A,"810???",P:P)</f>
        <v>0</v>
      </c>
      <c r="Q220" s="258"/>
    </row>
    <row r="221" hidden="1" spans="1:17">
      <c r="A221" s="250" t="s">
        <v>862</v>
      </c>
      <c r="B221" s="217" t="s">
        <v>863</v>
      </c>
      <c r="C221" s="257">
        <v>14979.777093</v>
      </c>
      <c r="D221" s="257">
        <v>14979.777093</v>
      </c>
      <c r="E221" s="257">
        <v>5679.777093</v>
      </c>
      <c r="F221" s="257">
        <v>9300</v>
      </c>
      <c r="G221" s="257"/>
      <c r="H221" s="257"/>
      <c r="I221" s="257">
        <v>9300</v>
      </c>
      <c r="J221" s="257"/>
      <c r="K221" s="257"/>
      <c r="L221" s="257"/>
      <c r="M221" s="257"/>
      <c r="N221" s="257"/>
      <c r="O221" s="257"/>
      <c r="P221" s="257"/>
      <c r="Q221" s="258"/>
    </row>
    <row r="222" hidden="1" spans="1:17">
      <c r="A222" s="250" t="s">
        <v>864</v>
      </c>
      <c r="B222" s="217" t="s">
        <v>865</v>
      </c>
      <c r="C222" s="257">
        <v>269.942229</v>
      </c>
      <c r="D222" s="257">
        <v>269.942229</v>
      </c>
      <c r="E222" s="257">
        <v>269.942229</v>
      </c>
      <c r="F222" s="257"/>
      <c r="G222" s="257"/>
      <c r="H222" s="257"/>
      <c r="I222" s="257"/>
      <c r="J222" s="257"/>
      <c r="K222" s="257"/>
      <c r="L222" s="257"/>
      <c r="M222" s="257"/>
      <c r="N222" s="257"/>
      <c r="O222" s="257"/>
      <c r="P222" s="257"/>
      <c r="Q222" s="258"/>
    </row>
    <row r="223" hidden="1" spans="1:17">
      <c r="A223" s="250" t="s">
        <v>866</v>
      </c>
      <c r="B223" s="254" t="s">
        <v>867</v>
      </c>
      <c r="C223" s="257">
        <v>13.445669</v>
      </c>
      <c r="D223" s="257">
        <v>13.445669</v>
      </c>
      <c r="E223" s="257">
        <v>13.445669</v>
      </c>
      <c r="F223" s="257"/>
      <c r="G223" s="257"/>
      <c r="H223" s="257"/>
      <c r="I223" s="257"/>
      <c r="J223" s="257"/>
      <c r="K223" s="257"/>
      <c r="L223" s="257"/>
      <c r="M223" s="257"/>
      <c r="N223" s="257"/>
      <c r="O223" s="257"/>
      <c r="P223" s="257"/>
      <c r="Q223" s="258"/>
    </row>
    <row r="224" hidden="1" spans="1:17">
      <c r="A224" s="250" t="s">
        <v>868</v>
      </c>
      <c r="B224" s="217" t="s">
        <v>869</v>
      </c>
      <c r="C224" s="257">
        <v>111.479605</v>
      </c>
      <c r="D224" s="257">
        <v>111.479605</v>
      </c>
      <c r="E224" s="257">
        <v>111.479605</v>
      </c>
      <c r="F224" s="257"/>
      <c r="G224" s="257"/>
      <c r="H224" s="257"/>
      <c r="I224" s="257"/>
      <c r="J224" s="257"/>
      <c r="K224" s="257"/>
      <c r="L224" s="257"/>
      <c r="M224" s="257"/>
      <c r="N224" s="257"/>
      <c r="O224" s="257"/>
      <c r="P224" s="257"/>
      <c r="Q224" s="258"/>
    </row>
    <row r="225" hidden="1" spans="1:17">
      <c r="A225" s="250" t="s">
        <v>870</v>
      </c>
      <c r="B225" s="217" t="s">
        <v>871</v>
      </c>
      <c r="C225" s="257">
        <v>106.198718</v>
      </c>
      <c r="D225" s="257">
        <v>106.198718</v>
      </c>
      <c r="E225" s="257">
        <v>106.198718</v>
      </c>
      <c r="F225" s="257"/>
      <c r="G225" s="257"/>
      <c r="H225" s="257"/>
      <c r="I225" s="257"/>
      <c r="J225" s="257"/>
      <c r="K225" s="257"/>
      <c r="L225" s="257"/>
      <c r="M225" s="257"/>
      <c r="N225" s="257"/>
      <c r="O225" s="257"/>
      <c r="P225" s="257"/>
      <c r="Q225" s="258"/>
    </row>
    <row r="226" hidden="1" spans="1:17">
      <c r="A226" s="250" t="s">
        <v>872</v>
      </c>
      <c r="B226" s="217" t="s">
        <v>873</v>
      </c>
      <c r="C226" s="257">
        <v>165.469841</v>
      </c>
      <c r="D226" s="257">
        <v>165.469841</v>
      </c>
      <c r="E226" s="257">
        <v>165.469841</v>
      </c>
      <c r="F226" s="257"/>
      <c r="G226" s="257"/>
      <c r="H226" s="257"/>
      <c r="I226" s="257"/>
      <c r="J226" s="257"/>
      <c r="K226" s="257"/>
      <c r="L226" s="257"/>
      <c r="M226" s="257"/>
      <c r="N226" s="257"/>
      <c r="O226" s="257"/>
      <c r="P226" s="257"/>
      <c r="Q226" s="258"/>
    </row>
    <row r="227" hidden="1" spans="1:17">
      <c r="A227" s="250" t="s">
        <v>874</v>
      </c>
      <c r="B227" s="217" t="s">
        <v>875</v>
      </c>
      <c r="C227" s="257">
        <v>34.14204</v>
      </c>
      <c r="D227" s="257">
        <v>34.14204</v>
      </c>
      <c r="E227" s="257">
        <v>34.14204</v>
      </c>
      <c r="F227" s="257"/>
      <c r="G227" s="257"/>
      <c r="H227" s="257"/>
      <c r="I227" s="257"/>
      <c r="J227" s="257"/>
      <c r="K227" s="257"/>
      <c r="L227" s="257"/>
      <c r="M227" s="257"/>
      <c r="N227" s="257"/>
      <c r="O227" s="257"/>
      <c r="P227" s="257"/>
      <c r="Q227" s="258"/>
    </row>
    <row r="228" hidden="1" spans="1:17">
      <c r="A228" s="250"/>
      <c r="B228" s="255" t="s">
        <v>876</v>
      </c>
      <c r="C228" s="256">
        <f>SUMIF($A:$A,"811???",C:C)</f>
        <v>3224.565362</v>
      </c>
      <c r="D228" s="256">
        <f>SUMIF($A:$A,"811???",D:D)</f>
        <v>3224.565362</v>
      </c>
      <c r="E228" s="256">
        <f>SUMIF($A:$A,"811???",E:E)</f>
        <v>2924.565362</v>
      </c>
      <c r="F228" s="256">
        <f>SUMIF($A:$A,"811???",F:F)</f>
        <v>300</v>
      </c>
      <c r="G228" s="256">
        <f>SUMIF($A:$A,"811???",G:G)</f>
        <v>0</v>
      </c>
      <c r="H228" s="256">
        <f>SUMIF($A:$A,"811???",H:H)</f>
        <v>0</v>
      </c>
      <c r="I228" s="256">
        <f>SUMIF($A:$A,"811???",I:I)</f>
        <v>300</v>
      </c>
      <c r="J228" s="256">
        <f>SUMIF($A:$A,"811???",J:J)</f>
        <v>0</v>
      </c>
      <c r="K228" s="256">
        <f>SUMIF($A:$A,"811???",K:K)</f>
        <v>0</v>
      </c>
      <c r="L228" s="256">
        <f>SUMIF($A:$A,"811???",L:L)</f>
        <v>0</v>
      </c>
      <c r="M228" s="256">
        <f>SUMIF($A:$A,"811???",M:M)</f>
        <v>0</v>
      </c>
      <c r="N228" s="256">
        <f>SUMIF($A:$A,"811???",N:N)</f>
        <v>0</v>
      </c>
      <c r="O228" s="256">
        <f>SUMIF($A:$A,"811???",O:O)</f>
        <v>0</v>
      </c>
      <c r="P228" s="256">
        <f>SUMIF($A:$A,"811???",P:P)</f>
        <v>0</v>
      </c>
      <c r="Q228" s="258"/>
    </row>
    <row r="229" hidden="1" spans="1:17">
      <c r="A229" s="250" t="s">
        <v>877</v>
      </c>
      <c r="B229" s="217" t="s">
        <v>878</v>
      </c>
      <c r="C229" s="257">
        <v>2889.468029</v>
      </c>
      <c r="D229" s="257">
        <v>2889.468029</v>
      </c>
      <c r="E229" s="257">
        <v>2589.468029</v>
      </c>
      <c r="F229" s="257">
        <v>300</v>
      </c>
      <c r="G229" s="257"/>
      <c r="H229" s="257"/>
      <c r="I229" s="257">
        <v>300</v>
      </c>
      <c r="J229" s="257"/>
      <c r="K229" s="257"/>
      <c r="L229" s="257"/>
      <c r="M229" s="257"/>
      <c r="N229" s="257"/>
      <c r="O229" s="257"/>
      <c r="P229" s="257"/>
      <c r="Q229" s="258"/>
    </row>
    <row r="230" hidden="1" spans="1:17">
      <c r="A230" s="250" t="s">
        <v>879</v>
      </c>
      <c r="B230" s="217" t="s">
        <v>880</v>
      </c>
      <c r="C230" s="257">
        <v>243.437463</v>
      </c>
      <c r="D230" s="257">
        <v>243.437463</v>
      </c>
      <c r="E230" s="257">
        <v>243.437463</v>
      </c>
      <c r="F230" s="257"/>
      <c r="G230" s="257"/>
      <c r="H230" s="257"/>
      <c r="I230" s="257"/>
      <c r="J230" s="257"/>
      <c r="K230" s="257"/>
      <c r="L230" s="257"/>
      <c r="M230" s="257"/>
      <c r="N230" s="257"/>
      <c r="O230" s="257"/>
      <c r="P230" s="257"/>
      <c r="Q230" s="258"/>
    </row>
    <row r="231" hidden="1" spans="1:17">
      <c r="A231" s="250" t="s">
        <v>881</v>
      </c>
      <c r="B231" s="217" t="s">
        <v>882</v>
      </c>
      <c r="C231" s="257">
        <v>16.235264</v>
      </c>
      <c r="D231" s="257">
        <v>16.235264</v>
      </c>
      <c r="E231" s="257">
        <v>16.235264</v>
      </c>
      <c r="F231" s="257"/>
      <c r="G231" s="257"/>
      <c r="H231" s="257"/>
      <c r="I231" s="257"/>
      <c r="J231" s="257"/>
      <c r="K231" s="257"/>
      <c r="L231" s="257"/>
      <c r="M231" s="257"/>
      <c r="N231" s="257"/>
      <c r="O231" s="257"/>
      <c r="P231" s="257"/>
      <c r="Q231" s="258"/>
    </row>
    <row r="232" hidden="1" spans="1:17">
      <c r="A232" s="250" t="s">
        <v>883</v>
      </c>
      <c r="B232" s="217" t="s">
        <v>884</v>
      </c>
      <c r="C232" s="257">
        <v>42.577476</v>
      </c>
      <c r="D232" s="257">
        <v>42.577476</v>
      </c>
      <c r="E232" s="257">
        <v>42.577476</v>
      </c>
      <c r="F232" s="257"/>
      <c r="G232" s="257"/>
      <c r="H232" s="257"/>
      <c r="I232" s="257"/>
      <c r="J232" s="257"/>
      <c r="K232" s="257"/>
      <c r="L232" s="257"/>
      <c r="M232" s="257"/>
      <c r="N232" s="257"/>
      <c r="O232" s="257"/>
      <c r="P232" s="257"/>
      <c r="Q232" s="258"/>
    </row>
    <row r="233" hidden="1" spans="1:17">
      <c r="A233" s="250" t="s">
        <v>885</v>
      </c>
      <c r="B233" s="217" t="s">
        <v>886</v>
      </c>
      <c r="C233" s="257">
        <v>32.84713</v>
      </c>
      <c r="D233" s="257">
        <v>32.84713</v>
      </c>
      <c r="E233" s="257">
        <v>32.84713</v>
      </c>
      <c r="F233" s="257"/>
      <c r="G233" s="257"/>
      <c r="H233" s="257"/>
      <c r="I233" s="257"/>
      <c r="J233" s="257"/>
      <c r="K233" s="257"/>
      <c r="L233" s="257"/>
      <c r="M233" s="257"/>
      <c r="N233" s="257"/>
      <c r="O233" s="257"/>
      <c r="P233" s="257"/>
      <c r="Q233" s="258"/>
    </row>
    <row r="234" hidden="1" spans="1:17">
      <c r="A234" s="250"/>
      <c r="B234" s="255" t="s">
        <v>887</v>
      </c>
      <c r="C234" s="256">
        <f>SUMIF($A:$A,"812???",C:C)</f>
        <v>14073.964822</v>
      </c>
      <c r="D234" s="256">
        <f>SUMIF($A:$A,"812???",D:D)</f>
        <v>14073.964822</v>
      </c>
      <c r="E234" s="256">
        <f>SUMIF($A:$A,"812???",E:E)</f>
        <v>5173.964822</v>
      </c>
      <c r="F234" s="256">
        <f>SUMIF($A:$A,"812???",F:F)</f>
        <v>8900</v>
      </c>
      <c r="G234" s="256">
        <f>SUMIF($A:$A,"812???",G:G)</f>
        <v>0</v>
      </c>
      <c r="H234" s="256">
        <f>SUMIF($A:$A,"812???",H:H)</f>
        <v>0</v>
      </c>
      <c r="I234" s="256">
        <f>SUMIF($A:$A,"812???",I:I)</f>
        <v>8900</v>
      </c>
      <c r="J234" s="256">
        <f>SUMIF($A:$A,"812???",J:J)</f>
        <v>0</v>
      </c>
      <c r="K234" s="256">
        <f>SUMIF($A:$A,"812???",K:K)</f>
        <v>0</v>
      </c>
      <c r="L234" s="256">
        <f>SUMIF($A:$A,"812???",L:L)</f>
        <v>0</v>
      </c>
      <c r="M234" s="256">
        <f>SUMIF($A:$A,"812???",M:M)</f>
        <v>0</v>
      </c>
      <c r="N234" s="256">
        <f>SUMIF($A:$A,"812???",N:N)</f>
        <v>0</v>
      </c>
      <c r="O234" s="256">
        <f>SUMIF($A:$A,"812???",O:O)</f>
        <v>0</v>
      </c>
      <c r="P234" s="256">
        <f>SUMIF($A:$A,"812???",P:P)</f>
        <v>0</v>
      </c>
      <c r="Q234" s="258"/>
    </row>
    <row r="235" hidden="1" spans="1:17">
      <c r="A235" s="250" t="s">
        <v>888</v>
      </c>
      <c r="B235" s="217" t="s">
        <v>889</v>
      </c>
      <c r="C235" s="257">
        <v>13336.289057</v>
      </c>
      <c r="D235" s="257">
        <v>13336.289057</v>
      </c>
      <c r="E235" s="257">
        <v>4436.289057</v>
      </c>
      <c r="F235" s="257">
        <v>8900</v>
      </c>
      <c r="G235" s="257"/>
      <c r="H235" s="257"/>
      <c r="I235" s="257">
        <v>8900</v>
      </c>
      <c r="J235" s="257"/>
      <c r="K235" s="257"/>
      <c r="L235" s="257"/>
      <c r="M235" s="257"/>
      <c r="N235" s="257"/>
      <c r="O235" s="257"/>
      <c r="P235" s="257"/>
      <c r="Q235" s="258"/>
    </row>
    <row r="236" hidden="1" spans="1:17">
      <c r="A236" s="250" t="s">
        <v>890</v>
      </c>
      <c r="B236" s="217" t="s">
        <v>891</v>
      </c>
      <c r="C236" s="257">
        <v>274.028884</v>
      </c>
      <c r="D236" s="257">
        <v>274.028884</v>
      </c>
      <c r="E236" s="257">
        <v>274.028884</v>
      </c>
      <c r="F236" s="257"/>
      <c r="G236" s="257"/>
      <c r="H236" s="257"/>
      <c r="I236" s="257"/>
      <c r="J236" s="257"/>
      <c r="K236" s="257"/>
      <c r="L236" s="257"/>
      <c r="M236" s="257"/>
      <c r="N236" s="257"/>
      <c r="O236" s="257"/>
      <c r="P236" s="257"/>
      <c r="Q236" s="258"/>
    </row>
    <row r="237" hidden="1" spans="1:17">
      <c r="A237" s="250" t="s">
        <v>892</v>
      </c>
      <c r="B237" s="254" t="s">
        <v>893</v>
      </c>
      <c r="C237" s="257">
        <v>17.76869</v>
      </c>
      <c r="D237" s="257">
        <v>17.76869</v>
      </c>
      <c r="E237" s="257">
        <v>17.76869</v>
      </c>
      <c r="F237" s="257"/>
      <c r="G237" s="257"/>
      <c r="H237" s="257"/>
      <c r="I237" s="257"/>
      <c r="J237" s="257"/>
      <c r="K237" s="257"/>
      <c r="L237" s="257"/>
      <c r="M237" s="257"/>
      <c r="N237" s="257"/>
      <c r="O237" s="257"/>
      <c r="P237" s="257"/>
      <c r="Q237" s="258"/>
    </row>
    <row r="238" hidden="1" spans="1:17">
      <c r="A238" s="250" t="s">
        <v>894</v>
      </c>
      <c r="B238" s="217" t="s">
        <v>895</v>
      </c>
      <c r="C238" s="257">
        <v>99.785981</v>
      </c>
      <c r="D238" s="257">
        <v>99.785981</v>
      </c>
      <c r="E238" s="257">
        <v>99.785981</v>
      </c>
      <c r="F238" s="257"/>
      <c r="G238" s="257"/>
      <c r="H238" s="257"/>
      <c r="I238" s="257"/>
      <c r="J238" s="257"/>
      <c r="K238" s="257"/>
      <c r="L238" s="257"/>
      <c r="M238" s="257"/>
      <c r="N238" s="257"/>
      <c r="O238" s="257"/>
      <c r="P238" s="257"/>
      <c r="Q238" s="258"/>
    </row>
    <row r="239" hidden="1" spans="1:17">
      <c r="A239" s="250" t="s">
        <v>896</v>
      </c>
      <c r="B239" s="217" t="s">
        <v>897</v>
      </c>
      <c r="C239" s="257">
        <v>106.189139</v>
      </c>
      <c r="D239" s="257">
        <v>106.189139</v>
      </c>
      <c r="E239" s="257">
        <v>106.189139</v>
      </c>
      <c r="F239" s="257"/>
      <c r="G239" s="257"/>
      <c r="H239" s="257"/>
      <c r="I239" s="257"/>
      <c r="J239" s="257"/>
      <c r="K239" s="257"/>
      <c r="L239" s="257"/>
      <c r="M239" s="257"/>
      <c r="N239" s="257"/>
      <c r="O239" s="257"/>
      <c r="P239" s="257"/>
      <c r="Q239" s="258"/>
    </row>
    <row r="240" hidden="1" spans="1:17">
      <c r="A240" s="250" t="s">
        <v>898</v>
      </c>
      <c r="B240" s="217" t="s">
        <v>899</v>
      </c>
      <c r="C240" s="257">
        <v>206.393441</v>
      </c>
      <c r="D240" s="257">
        <v>206.393441</v>
      </c>
      <c r="E240" s="257">
        <v>206.393441</v>
      </c>
      <c r="F240" s="257"/>
      <c r="G240" s="257"/>
      <c r="H240" s="257"/>
      <c r="I240" s="257"/>
      <c r="J240" s="257"/>
      <c r="K240" s="257"/>
      <c r="L240" s="257"/>
      <c r="M240" s="257"/>
      <c r="N240" s="257"/>
      <c r="O240" s="257"/>
      <c r="P240" s="257"/>
      <c r="Q240" s="258"/>
    </row>
    <row r="241" hidden="1" spans="1:17">
      <c r="A241" s="250" t="s">
        <v>900</v>
      </c>
      <c r="B241" s="217" t="s">
        <v>901</v>
      </c>
      <c r="C241" s="257">
        <v>33.50963</v>
      </c>
      <c r="D241" s="257">
        <v>33.50963</v>
      </c>
      <c r="E241" s="257">
        <v>33.50963</v>
      </c>
      <c r="F241" s="257"/>
      <c r="G241" s="257"/>
      <c r="H241" s="257"/>
      <c r="I241" s="257"/>
      <c r="J241" s="257"/>
      <c r="K241" s="257"/>
      <c r="L241" s="257"/>
      <c r="M241" s="257"/>
      <c r="N241" s="257"/>
      <c r="O241" s="257"/>
      <c r="P241" s="257"/>
      <c r="Q241" s="258"/>
    </row>
    <row r="242" hidden="1" spans="1:17">
      <c r="A242" s="250"/>
      <c r="B242" s="255" t="s">
        <v>902</v>
      </c>
      <c r="C242" s="256">
        <f>SUMIF($A:$A,"813???",C:C)</f>
        <v>3716.368305</v>
      </c>
      <c r="D242" s="256">
        <f>SUMIF($A:$A,"813???",D:D)</f>
        <v>3716.368305</v>
      </c>
      <c r="E242" s="256">
        <f>SUMIF($A:$A,"813???",E:E)</f>
        <v>3128.108305</v>
      </c>
      <c r="F242" s="256">
        <f>SUMIF($A:$A,"813???",F:F)</f>
        <v>588.26</v>
      </c>
      <c r="G242" s="256">
        <f>SUMIF($A:$A,"813???",G:G)</f>
        <v>0</v>
      </c>
      <c r="H242" s="256">
        <f>SUMIF($A:$A,"813???",H:H)</f>
        <v>0</v>
      </c>
      <c r="I242" s="256">
        <f>SUMIF($A:$A,"813???",I:I)</f>
        <v>588.26</v>
      </c>
      <c r="J242" s="256">
        <f>SUMIF($A:$A,"813???",J:J)</f>
        <v>0</v>
      </c>
      <c r="K242" s="256">
        <f>SUMIF($A:$A,"813???",K:K)</f>
        <v>0</v>
      </c>
      <c r="L242" s="256">
        <f>SUMIF($A:$A,"813???",L:L)</f>
        <v>0</v>
      </c>
      <c r="M242" s="256">
        <f>SUMIF($A:$A,"813???",M:M)</f>
        <v>0</v>
      </c>
      <c r="N242" s="256">
        <f>SUMIF($A:$A,"813???",N:N)</f>
        <v>0</v>
      </c>
      <c r="O242" s="256">
        <f>SUMIF($A:$A,"813???",O:O)</f>
        <v>0</v>
      </c>
      <c r="P242" s="256">
        <f>SUMIF($A:$A,"813???",P:P)</f>
        <v>0</v>
      </c>
      <c r="Q242" s="258"/>
    </row>
    <row r="243" hidden="1" spans="1:17">
      <c r="A243" s="250" t="s">
        <v>903</v>
      </c>
      <c r="B243" s="217" t="s">
        <v>904</v>
      </c>
      <c r="C243" s="257">
        <v>3102.786837</v>
      </c>
      <c r="D243" s="257">
        <v>3102.786837</v>
      </c>
      <c r="E243" s="257">
        <v>2514.526837</v>
      </c>
      <c r="F243" s="257">
        <v>588.26</v>
      </c>
      <c r="G243" s="257"/>
      <c r="H243" s="257"/>
      <c r="I243" s="257">
        <v>588.26</v>
      </c>
      <c r="J243" s="257"/>
      <c r="K243" s="257"/>
      <c r="L243" s="257"/>
      <c r="M243" s="257"/>
      <c r="N243" s="257"/>
      <c r="O243" s="257"/>
      <c r="P243" s="257"/>
      <c r="Q243" s="258"/>
    </row>
    <row r="244" hidden="1" spans="1:17">
      <c r="A244" s="250" t="s">
        <v>905</v>
      </c>
      <c r="B244" s="217" t="s">
        <v>906</v>
      </c>
      <c r="C244" s="257">
        <v>304.563559</v>
      </c>
      <c r="D244" s="257">
        <v>304.563559</v>
      </c>
      <c r="E244" s="257">
        <v>304.563559</v>
      </c>
      <c r="F244" s="257"/>
      <c r="G244" s="257"/>
      <c r="H244" s="257"/>
      <c r="I244" s="257"/>
      <c r="J244" s="257"/>
      <c r="K244" s="257"/>
      <c r="L244" s="257"/>
      <c r="M244" s="257"/>
      <c r="N244" s="257"/>
      <c r="O244" s="257"/>
      <c r="P244" s="257"/>
      <c r="Q244" s="258"/>
    </row>
    <row r="245" hidden="1" spans="1:17">
      <c r="A245" s="250" t="s">
        <v>907</v>
      </c>
      <c r="B245" s="217" t="s">
        <v>908</v>
      </c>
      <c r="C245" s="257">
        <v>126.647101</v>
      </c>
      <c r="D245" s="257">
        <v>126.647101</v>
      </c>
      <c r="E245" s="257">
        <v>126.647101</v>
      </c>
      <c r="F245" s="257"/>
      <c r="G245" s="257"/>
      <c r="H245" s="257"/>
      <c r="I245" s="257"/>
      <c r="J245" s="257"/>
      <c r="K245" s="257"/>
      <c r="L245" s="257"/>
      <c r="M245" s="257"/>
      <c r="N245" s="257"/>
      <c r="O245" s="257"/>
      <c r="P245" s="257"/>
      <c r="Q245" s="258"/>
    </row>
    <row r="246" hidden="1" spans="1:17">
      <c r="A246" s="250" t="s">
        <v>909</v>
      </c>
      <c r="B246" s="217" t="s">
        <v>910</v>
      </c>
      <c r="C246" s="257">
        <v>15.883188</v>
      </c>
      <c r="D246" s="257">
        <v>15.883188</v>
      </c>
      <c r="E246" s="257">
        <v>15.883188</v>
      </c>
      <c r="F246" s="257"/>
      <c r="G246" s="257"/>
      <c r="H246" s="257"/>
      <c r="I246" s="257"/>
      <c r="J246" s="257"/>
      <c r="K246" s="257"/>
      <c r="L246" s="257"/>
      <c r="M246" s="257"/>
      <c r="N246" s="257"/>
      <c r="O246" s="257"/>
      <c r="P246" s="257"/>
      <c r="Q246" s="258"/>
    </row>
    <row r="247" hidden="1" spans="1:17">
      <c r="A247" s="250" t="s">
        <v>911</v>
      </c>
      <c r="B247" s="217" t="s">
        <v>912</v>
      </c>
      <c r="C247" s="257">
        <v>51.118226</v>
      </c>
      <c r="D247" s="257">
        <v>51.118226</v>
      </c>
      <c r="E247" s="257">
        <v>51.118226</v>
      </c>
      <c r="F247" s="257"/>
      <c r="G247" s="257"/>
      <c r="H247" s="257"/>
      <c r="I247" s="257"/>
      <c r="J247" s="257"/>
      <c r="K247" s="257"/>
      <c r="L247" s="257"/>
      <c r="M247" s="257"/>
      <c r="N247" s="257"/>
      <c r="O247" s="257"/>
      <c r="P247" s="257"/>
      <c r="Q247" s="258"/>
    </row>
    <row r="248" hidden="1" spans="1:17">
      <c r="A248" s="250" t="s">
        <v>913</v>
      </c>
      <c r="B248" s="217" t="s">
        <v>914</v>
      </c>
      <c r="C248" s="257">
        <v>34.18247</v>
      </c>
      <c r="D248" s="257">
        <v>34.18247</v>
      </c>
      <c r="E248" s="257">
        <v>34.18247</v>
      </c>
      <c r="F248" s="257"/>
      <c r="G248" s="257"/>
      <c r="H248" s="257"/>
      <c r="I248" s="257"/>
      <c r="J248" s="257"/>
      <c r="K248" s="257"/>
      <c r="L248" s="257"/>
      <c r="M248" s="257"/>
      <c r="N248" s="257"/>
      <c r="O248" s="257"/>
      <c r="P248" s="257"/>
      <c r="Q248" s="258"/>
    </row>
    <row r="249" hidden="1" spans="1:17">
      <c r="A249" s="250" t="s">
        <v>915</v>
      </c>
      <c r="B249" s="217" t="s">
        <v>916</v>
      </c>
      <c r="C249" s="257">
        <v>81.186924</v>
      </c>
      <c r="D249" s="257">
        <v>81.186924</v>
      </c>
      <c r="E249" s="257">
        <v>81.186924</v>
      </c>
      <c r="F249" s="257"/>
      <c r="G249" s="257"/>
      <c r="H249" s="257"/>
      <c r="I249" s="257"/>
      <c r="J249" s="257"/>
      <c r="K249" s="257"/>
      <c r="L249" s="257"/>
      <c r="M249" s="257"/>
      <c r="N249" s="257"/>
      <c r="O249" s="257"/>
      <c r="P249" s="257"/>
      <c r="Q249" s="258"/>
    </row>
    <row r="250" hidden="1" spans="1:17">
      <c r="A250" s="250"/>
      <c r="B250" s="255" t="s">
        <v>917</v>
      </c>
      <c r="C250" s="256">
        <f>SUMIF($A:$A,"814???",C:C)</f>
        <v>2675.357899</v>
      </c>
      <c r="D250" s="256">
        <f>SUMIF($A:$A,"814???",D:D)</f>
        <v>2675.357899</v>
      </c>
      <c r="E250" s="256">
        <f>SUMIF($A:$A,"814???",E:E)</f>
        <v>2273.357899</v>
      </c>
      <c r="F250" s="256">
        <f>SUMIF($A:$A,"814???",F:F)</f>
        <v>402</v>
      </c>
      <c r="G250" s="256">
        <f>SUMIF($A:$A,"814???",G:G)</f>
        <v>0</v>
      </c>
      <c r="H250" s="256">
        <f>SUMIF($A:$A,"814???",H:H)</f>
        <v>0</v>
      </c>
      <c r="I250" s="256">
        <f>SUMIF($A:$A,"814???",I:I)</f>
        <v>402</v>
      </c>
      <c r="J250" s="256">
        <f>SUMIF($A:$A,"814???",J:J)</f>
        <v>0</v>
      </c>
      <c r="K250" s="256">
        <f>SUMIF($A:$A,"814???",K:K)</f>
        <v>0</v>
      </c>
      <c r="L250" s="256">
        <f>SUMIF($A:$A,"814???",L:L)</f>
        <v>0</v>
      </c>
      <c r="M250" s="256">
        <f>SUMIF($A:$A,"814???",M:M)</f>
        <v>0</v>
      </c>
      <c r="N250" s="256">
        <f>SUMIF($A:$A,"814???",N:N)</f>
        <v>0</v>
      </c>
      <c r="O250" s="256">
        <f>SUMIF($A:$A,"814???",O:O)</f>
        <v>0</v>
      </c>
      <c r="P250" s="256">
        <f>SUMIF($A:$A,"814???",P:P)</f>
        <v>0</v>
      </c>
      <c r="Q250" s="258"/>
    </row>
    <row r="251" hidden="1" spans="1:17">
      <c r="A251" s="250" t="s">
        <v>918</v>
      </c>
      <c r="B251" s="217" t="s">
        <v>919</v>
      </c>
      <c r="C251" s="257">
        <v>2289.725422</v>
      </c>
      <c r="D251" s="257">
        <v>2289.725422</v>
      </c>
      <c r="E251" s="257">
        <v>1887.725422</v>
      </c>
      <c r="F251" s="257">
        <v>402</v>
      </c>
      <c r="G251" s="257"/>
      <c r="H251" s="257"/>
      <c r="I251" s="257">
        <v>402</v>
      </c>
      <c r="J251" s="257"/>
      <c r="K251" s="257"/>
      <c r="L251" s="257"/>
      <c r="M251" s="257"/>
      <c r="N251" s="257"/>
      <c r="O251" s="257"/>
      <c r="P251" s="257"/>
      <c r="Q251" s="258"/>
    </row>
    <row r="252" hidden="1" spans="1:17">
      <c r="A252" s="250" t="s">
        <v>920</v>
      </c>
      <c r="B252" s="217" t="s">
        <v>921</v>
      </c>
      <c r="C252" s="257">
        <v>293.042164</v>
      </c>
      <c r="D252" s="257">
        <v>293.042164</v>
      </c>
      <c r="E252" s="257">
        <v>293.042164</v>
      </c>
      <c r="F252" s="257"/>
      <c r="G252" s="257"/>
      <c r="H252" s="257"/>
      <c r="I252" s="257"/>
      <c r="J252" s="257"/>
      <c r="K252" s="257"/>
      <c r="L252" s="257"/>
      <c r="M252" s="257"/>
      <c r="N252" s="257"/>
      <c r="O252" s="257"/>
      <c r="P252" s="257"/>
      <c r="Q252" s="258"/>
    </row>
    <row r="253" hidden="1" spans="1:17">
      <c r="A253" s="250" t="s">
        <v>922</v>
      </c>
      <c r="B253" s="217" t="s">
        <v>923</v>
      </c>
      <c r="C253" s="257">
        <v>15.701436</v>
      </c>
      <c r="D253" s="257">
        <v>15.701436</v>
      </c>
      <c r="E253" s="257">
        <v>15.701436</v>
      </c>
      <c r="F253" s="257"/>
      <c r="G253" s="257"/>
      <c r="H253" s="257"/>
      <c r="I253" s="257"/>
      <c r="J253" s="257"/>
      <c r="K253" s="257"/>
      <c r="L253" s="257"/>
      <c r="M253" s="257"/>
      <c r="N253" s="257"/>
      <c r="O253" s="257"/>
      <c r="P253" s="257"/>
      <c r="Q253" s="258"/>
    </row>
    <row r="254" hidden="1" spans="1:17">
      <c r="A254" s="250" t="s">
        <v>924</v>
      </c>
      <c r="B254" s="217" t="s">
        <v>925</v>
      </c>
      <c r="C254" s="257">
        <v>42.728011</v>
      </c>
      <c r="D254" s="257">
        <v>42.728011</v>
      </c>
      <c r="E254" s="257">
        <v>42.728011</v>
      </c>
      <c r="F254" s="257"/>
      <c r="G254" s="257"/>
      <c r="H254" s="257"/>
      <c r="I254" s="257"/>
      <c r="J254" s="257"/>
      <c r="K254" s="257"/>
      <c r="L254" s="257"/>
      <c r="M254" s="257"/>
      <c r="N254" s="257"/>
      <c r="O254" s="257"/>
      <c r="P254" s="257"/>
      <c r="Q254" s="258"/>
    </row>
    <row r="255" hidden="1" spans="1:17">
      <c r="A255" s="250" t="s">
        <v>926</v>
      </c>
      <c r="B255" s="217" t="s">
        <v>927</v>
      </c>
      <c r="C255" s="257">
        <v>34.160866</v>
      </c>
      <c r="D255" s="257">
        <v>34.160866</v>
      </c>
      <c r="E255" s="257">
        <v>34.160866</v>
      </c>
      <c r="F255" s="257"/>
      <c r="G255" s="257"/>
      <c r="H255" s="257"/>
      <c r="I255" s="257"/>
      <c r="J255" s="257"/>
      <c r="K255" s="257"/>
      <c r="L255" s="257"/>
      <c r="M255" s="257"/>
      <c r="N255" s="257"/>
      <c r="O255" s="257"/>
      <c r="P255" s="257"/>
      <c r="Q255" s="258"/>
    </row>
    <row r="256" hidden="1" spans="1:17">
      <c r="A256" s="250"/>
      <c r="B256" s="255" t="s">
        <v>928</v>
      </c>
      <c r="C256" s="256">
        <f>SUMIF($A:$A,"815???",C:C)</f>
        <v>2914.695438</v>
      </c>
      <c r="D256" s="256">
        <f>SUMIF($A:$A,"815???",D:D)</f>
        <v>2914.695438</v>
      </c>
      <c r="E256" s="256">
        <f>SUMIF($A:$A,"815???",E:E)</f>
        <v>2514.695438</v>
      </c>
      <c r="F256" s="256">
        <f>SUMIF($A:$A,"815???",F:F)</f>
        <v>400</v>
      </c>
      <c r="G256" s="256">
        <f>SUMIF($A:$A,"815???",G:G)</f>
        <v>0</v>
      </c>
      <c r="H256" s="256">
        <f>SUMIF($A:$A,"815???",H:H)</f>
        <v>0</v>
      </c>
      <c r="I256" s="256">
        <f>SUMIF($A:$A,"815???",I:I)</f>
        <v>400</v>
      </c>
      <c r="J256" s="256">
        <f>SUMIF($A:$A,"815???",J:J)</f>
        <v>0</v>
      </c>
      <c r="K256" s="256">
        <f>SUMIF($A:$A,"815???",K:K)</f>
        <v>0</v>
      </c>
      <c r="L256" s="256">
        <f>SUMIF($A:$A,"815???",L:L)</f>
        <v>0</v>
      </c>
      <c r="M256" s="256">
        <f>SUMIF($A:$A,"815???",M:M)</f>
        <v>0</v>
      </c>
      <c r="N256" s="256">
        <f>SUMIF($A:$A,"815???",N:N)</f>
        <v>0</v>
      </c>
      <c r="O256" s="256">
        <f>SUMIF($A:$A,"815???",O:O)</f>
        <v>0</v>
      </c>
      <c r="P256" s="256">
        <f>SUMIF($A:$A,"815???",P:P)</f>
        <v>0</v>
      </c>
      <c r="Q256" s="258"/>
    </row>
    <row r="257" hidden="1" spans="1:17">
      <c r="A257" s="250" t="s">
        <v>929</v>
      </c>
      <c r="B257" s="217" t="s">
        <v>930</v>
      </c>
      <c r="C257" s="257">
        <v>2552.72929</v>
      </c>
      <c r="D257" s="257">
        <v>2552.72929</v>
      </c>
      <c r="E257" s="257">
        <v>2152.72929</v>
      </c>
      <c r="F257" s="257">
        <v>400</v>
      </c>
      <c r="G257" s="257"/>
      <c r="H257" s="257"/>
      <c r="I257" s="257">
        <v>400</v>
      </c>
      <c r="J257" s="257"/>
      <c r="K257" s="257"/>
      <c r="L257" s="257"/>
      <c r="M257" s="257"/>
      <c r="N257" s="257"/>
      <c r="O257" s="257"/>
      <c r="P257" s="257"/>
      <c r="Q257" s="258"/>
    </row>
    <row r="258" hidden="1" spans="1:17">
      <c r="A258" s="250" t="s">
        <v>931</v>
      </c>
      <c r="B258" s="217" t="s">
        <v>932</v>
      </c>
      <c r="C258" s="257">
        <v>265.587554</v>
      </c>
      <c r="D258" s="257">
        <v>265.587554</v>
      </c>
      <c r="E258" s="257">
        <v>265.587554</v>
      </c>
      <c r="F258" s="257"/>
      <c r="G258" s="257"/>
      <c r="H258" s="257"/>
      <c r="I258" s="257"/>
      <c r="J258" s="257"/>
      <c r="K258" s="257"/>
      <c r="L258" s="257"/>
      <c r="M258" s="257"/>
      <c r="N258" s="257"/>
      <c r="O258" s="257"/>
      <c r="P258" s="257"/>
      <c r="Q258" s="258"/>
    </row>
    <row r="259" hidden="1" spans="1:17">
      <c r="A259" s="250" t="s">
        <v>933</v>
      </c>
      <c r="B259" s="217" t="s">
        <v>934</v>
      </c>
      <c r="C259" s="257">
        <v>16.522664</v>
      </c>
      <c r="D259" s="257">
        <v>16.522664</v>
      </c>
      <c r="E259" s="257">
        <v>16.522664</v>
      </c>
      <c r="F259" s="257"/>
      <c r="G259" s="257"/>
      <c r="H259" s="257"/>
      <c r="I259" s="257"/>
      <c r="J259" s="257"/>
      <c r="K259" s="257"/>
      <c r="L259" s="257"/>
      <c r="M259" s="257"/>
      <c r="N259" s="257"/>
      <c r="O259" s="257"/>
      <c r="P259" s="257"/>
      <c r="Q259" s="258"/>
    </row>
    <row r="260" hidden="1" spans="1:17">
      <c r="A260" s="250" t="s">
        <v>935</v>
      </c>
      <c r="B260" s="217" t="s">
        <v>936</v>
      </c>
      <c r="C260" s="257">
        <v>45.942844</v>
      </c>
      <c r="D260" s="257">
        <v>45.942844</v>
      </c>
      <c r="E260" s="257">
        <v>45.942844</v>
      </c>
      <c r="F260" s="257"/>
      <c r="G260" s="257"/>
      <c r="H260" s="257"/>
      <c r="I260" s="257"/>
      <c r="J260" s="257"/>
      <c r="K260" s="257"/>
      <c r="L260" s="257"/>
      <c r="M260" s="257"/>
      <c r="N260" s="257"/>
      <c r="O260" s="257"/>
      <c r="P260" s="257"/>
      <c r="Q260" s="258"/>
    </row>
    <row r="261" hidden="1" spans="1:17">
      <c r="A261" s="250" t="s">
        <v>937</v>
      </c>
      <c r="B261" s="217" t="s">
        <v>938</v>
      </c>
      <c r="C261" s="257">
        <v>33.913086</v>
      </c>
      <c r="D261" s="257">
        <v>33.913086</v>
      </c>
      <c r="E261" s="257">
        <v>33.913086</v>
      </c>
      <c r="F261" s="257"/>
      <c r="G261" s="257"/>
      <c r="H261" s="257"/>
      <c r="I261" s="257"/>
      <c r="J261" s="257"/>
      <c r="K261" s="257"/>
      <c r="L261" s="257"/>
      <c r="M261" s="257"/>
      <c r="N261" s="257"/>
      <c r="O261" s="257"/>
      <c r="P261" s="257"/>
      <c r="Q261" s="258"/>
    </row>
    <row r="262" hidden="1" spans="1:17">
      <c r="A262" s="250"/>
      <c r="B262" s="255" t="s">
        <v>939</v>
      </c>
      <c r="C262" s="256">
        <f>SUMIF($A:$A,"816???",C:C)</f>
        <v>7490.340791</v>
      </c>
      <c r="D262" s="256">
        <f>SUMIF($A:$A,"816???",D:D)</f>
        <v>7490.340791</v>
      </c>
      <c r="E262" s="256">
        <f>SUMIF($A:$A,"816???",E:E)</f>
        <v>6004.340791</v>
      </c>
      <c r="F262" s="256">
        <f>SUMIF($A:$A,"816???",F:F)</f>
        <v>1486</v>
      </c>
      <c r="G262" s="256">
        <f>SUMIF($A:$A,"816???",G:G)</f>
        <v>0</v>
      </c>
      <c r="H262" s="256">
        <f>SUMIF($A:$A,"816???",H:H)</f>
        <v>0</v>
      </c>
      <c r="I262" s="256">
        <f>SUMIF($A:$A,"816???",I:I)</f>
        <v>1486</v>
      </c>
      <c r="J262" s="256">
        <f>SUMIF($A:$A,"816???",J:J)</f>
        <v>0</v>
      </c>
      <c r="K262" s="256">
        <f>SUMIF($A:$A,"816???",K:K)</f>
        <v>0</v>
      </c>
      <c r="L262" s="256">
        <f>SUMIF($A:$A,"816???",L:L)</f>
        <v>0</v>
      </c>
      <c r="M262" s="256">
        <f>SUMIF($A:$A,"816???",M:M)</f>
        <v>0</v>
      </c>
      <c r="N262" s="256">
        <f>SUMIF($A:$A,"816???",N:N)</f>
        <v>0</v>
      </c>
      <c r="O262" s="256">
        <f>SUMIF($A:$A,"816???",O:O)</f>
        <v>0</v>
      </c>
      <c r="P262" s="256">
        <f>SUMIF($A:$A,"816???",P:P)</f>
        <v>0</v>
      </c>
      <c r="Q262" s="258"/>
    </row>
    <row r="263" hidden="1" spans="1:17">
      <c r="A263" s="250" t="s">
        <v>940</v>
      </c>
      <c r="B263" s="217" t="s">
        <v>941</v>
      </c>
      <c r="C263" s="257">
        <v>6345.429116</v>
      </c>
      <c r="D263" s="257">
        <v>6345.429116</v>
      </c>
      <c r="E263" s="257">
        <v>4859.429116</v>
      </c>
      <c r="F263" s="257">
        <v>1486</v>
      </c>
      <c r="G263" s="257"/>
      <c r="H263" s="257"/>
      <c r="I263" s="257">
        <v>1486</v>
      </c>
      <c r="J263" s="257"/>
      <c r="K263" s="257"/>
      <c r="L263" s="257"/>
      <c r="M263" s="257"/>
      <c r="N263" s="257"/>
      <c r="O263" s="257"/>
      <c r="P263" s="257"/>
      <c r="Q263" s="258"/>
    </row>
    <row r="264" hidden="1" spans="1:17">
      <c r="A264" s="250" t="s">
        <v>942</v>
      </c>
      <c r="B264" s="217" t="s">
        <v>943</v>
      </c>
      <c r="C264" s="257">
        <v>242.345846</v>
      </c>
      <c r="D264" s="257">
        <v>242.345846</v>
      </c>
      <c r="E264" s="257">
        <v>242.345846</v>
      </c>
      <c r="F264" s="257"/>
      <c r="G264" s="257"/>
      <c r="H264" s="257"/>
      <c r="I264" s="257"/>
      <c r="J264" s="257"/>
      <c r="K264" s="257"/>
      <c r="L264" s="257"/>
      <c r="M264" s="257"/>
      <c r="N264" s="257"/>
      <c r="O264" s="257"/>
      <c r="P264" s="257"/>
      <c r="Q264" s="258"/>
    </row>
    <row r="265" hidden="1" spans="1:17">
      <c r="A265" s="250" t="s">
        <v>944</v>
      </c>
      <c r="B265" s="217" t="s">
        <v>945</v>
      </c>
      <c r="C265" s="257">
        <v>321.972379</v>
      </c>
      <c r="D265" s="257">
        <v>321.972379</v>
      </c>
      <c r="E265" s="257">
        <v>321.972379</v>
      </c>
      <c r="F265" s="257"/>
      <c r="G265" s="257"/>
      <c r="H265" s="257"/>
      <c r="I265" s="257"/>
      <c r="J265" s="257"/>
      <c r="K265" s="257"/>
      <c r="L265" s="257"/>
      <c r="M265" s="257"/>
      <c r="N265" s="257"/>
      <c r="O265" s="257"/>
      <c r="P265" s="257"/>
      <c r="Q265" s="258"/>
    </row>
    <row r="266" hidden="1" spans="1:17">
      <c r="A266" s="250" t="s">
        <v>946</v>
      </c>
      <c r="B266" s="217" t="s">
        <v>947</v>
      </c>
      <c r="C266" s="257">
        <v>481.069268</v>
      </c>
      <c r="D266" s="257">
        <v>481.069268</v>
      </c>
      <c r="E266" s="257">
        <v>481.069268</v>
      </c>
      <c r="F266" s="257"/>
      <c r="G266" s="257"/>
      <c r="H266" s="257"/>
      <c r="I266" s="257"/>
      <c r="J266" s="257"/>
      <c r="K266" s="257"/>
      <c r="L266" s="257"/>
      <c r="M266" s="257"/>
      <c r="N266" s="257"/>
      <c r="O266" s="257"/>
      <c r="P266" s="257"/>
      <c r="Q266" s="258"/>
    </row>
    <row r="267" hidden="1" spans="1:17">
      <c r="A267" s="250" t="s">
        <v>948</v>
      </c>
      <c r="B267" s="217" t="s">
        <v>949</v>
      </c>
      <c r="C267" s="257">
        <v>99.524182</v>
      </c>
      <c r="D267" s="257">
        <v>99.524182</v>
      </c>
      <c r="E267" s="257">
        <v>99.524182</v>
      </c>
      <c r="F267" s="257"/>
      <c r="G267" s="257"/>
      <c r="H267" s="257"/>
      <c r="I267" s="257"/>
      <c r="J267" s="257"/>
      <c r="K267" s="257"/>
      <c r="L267" s="257"/>
      <c r="M267" s="257"/>
      <c r="N267" s="257"/>
      <c r="O267" s="257"/>
      <c r="P267" s="257"/>
      <c r="Q267" s="258"/>
    </row>
    <row r="268" hidden="1" spans="1:17">
      <c r="A268" s="250"/>
      <c r="B268" s="255" t="s">
        <v>950</v>
      </c>
      <c r="C268" s="256">
        <f>SUMIF($A:$A,"817???",C:C)</f>
        <v>6344.46131</v>
      </c>
      <c r="D268" s="256">
        <f>SUMIF($A:$A,"817???",D:D)</f>
        <v>6344.46131</v>
      </c>
      <c r="E268" s="256">
        <f>SUMIF($A:$A,"817???",E:E)</f>
        <v>5344.46131</v>
      </c>
      <c r="F268" s="256">
        <f>SUMIF($A:$A,"817???",F:F)</f>
        <v>1000</v>
      </c>
      <c r="G268" s="256">
        <f>SUMIF($A:$A,"817???",G:G)</f>
        <v>0</v>
      </c>
      <c r="H268" s="256">
        <f>SUMIF($A:$A,"817???",H:H)</f>
        <v>0</v>
      </c>
      <c r="I268" s="256">
        <f>SUMIF($A:$A,"817???",I:I)</f>
        <v>1000</v>
      </c>
      <c r="J268" s="256">
        <f>SUMIF($A:$A,"817???",J:J)</f>
        <v>0</v>
      </c>
      <c r="K268" s="256">
        <f>SUMIF($A:$A,"817???",K:K)</f>
        <v>0</v>
      </c>
      <c r="L268" s="256">
        <f>SUMIF($A:$A,"817???",L:L)</f>
        <v>0</v>
      </c>
      <c r="M268" s="256">
        <f>SUMIF($A:$A,"817???",M:M)</f>
        <v>0</v>
      </c>
      <c r="N268" s="256">
        <f>SUMIF($A:$A,"817???",N:N)</f>
        <v>0</v>
      </c>
      <c r="O268" s="256">
        <f>SUMIF($A:$A,"817???",O:O)</f>
        <v>0</v>
      </c>
      <c r="P268" s="256">
        <f>SUMIF($A:$A,"817???",P:P)</f>
        <v>0</v>
      </c>
      <c r="Q268" s="258"/>
    </row>
    <row r="269" hidden="1" spans="1:17">
      <c r="A269" s="250" t="s">
        <v>951</v>
      </c>
      <c r="B269" s="217" t="s">
        <v>952</v>
      </c>
      <c r="C269" s="257">
        <v>5921.635477</v>
      </c>
      <c r="D269" s="257">
        <v>5921.635477</v>
      </c>
      <c r="E269" s="257">
        <v>4921.635477</v>
      </c>
      <c r="F269" s="257">
        <v>1000</v>
      </c>
      <c r="G269" s="257"/>
      <c r="H269" s="257"/>
      <c r="I269" s="257">
        <v>1000</v>
      </c>
      <c r="J269" s="257"/>
      <c r="K269" s="257"/>
      <c r="L269" s="257"/>
      <c r="M269" s="257"/>
      <c r="N269" s="257"/>
      <c r="O269" s="257"/>
      <c r="P269" s="257"/>
      <c r="Q269" s="258"/>
    </row>
    <row r="270" hidden="1" spans="1:17">
      <c r="A270" s="250" t="s">
        <v>953</v>
      </c>
      <c r="B270" s="217" t="s">
        <v>954</v>
      </c>
      <c r="C270" s="257">
        <v>292.96846</v>
      </c>
      <c r="D270" s="257">
        <v>292.96846</v>
      </c>
      <c r="E270" s="257">
        <v>292.96846</v>
      </c>
      <c r="F270" s="257"/>
      <c r="G270" s="257"/>
      <c r="H270" s="257"/>
      <c r="I270" s="257"/>
      <c r="J270" s="257"/>
      <c r="K270" s="257"/>
      <c r="L270" s="257"/>
      <c r="M270" s="257"/>
      <c r="N270" s="257"/>
      <c r="O270" s="257"/>
      <c r="P270" s="257"/>
      <c r="Q270" s="258"/>
    </row>
    <row r="271" hidden="1" spans="1:17">
      <c r="A271" s="250" t="s">
        <v>955</v>
      </c>
      <c r="B271" s="217" t="s">
        <v>956</v>
      </c>
      <c r="C271" s="257">
        <v>16.070302</v>
      </c>
      <c r="D271" s="257">
        <v>16.070302</v>
      </c>
      <c r="E271" s="257">
        <v>16.070302</v>
      </c>
      <c r="F271" s="257"/>
      <c r="G271" s="257"/>
      <c r="H271" s="257"/>
      <c r="I271" s="257"/>
      <c r="J271" s="257"/>
      <c r="K271" s="257"/>
      <c r="L271" s="257"/>
      <c r="M271" s="257"/>
      <c r="N271" s="257"/>
      <c r="O271" s="257"/>
      <c r="P271" s="257"/>
      <c r="Q271" s="258"/>
    </row>
    <row r="272" hidden="1" spans="1:17">
      <c r="A272" s="250" t="s">
        <v>957</v>
      </c>
      <c r="B272" s="217" t="s">
        <v>958</v>
      </c>
      <c r="C272" s="257">
        <v>80.458092</v>
      </c>
      <c r="D272" s="257">
        <v>80.458092</v>
      </c>
      <c r="E272" s="257">
        <v>80.458092</v>
      </c>
      <c r="F272" s="257"/>
      <c r="G272" s="257"/>
      <c r="H272" s="257"/>
      <c r="I272" s="257"/>
      <c r="J272" s="257"/>
      <c r="K272" s="257"/>
      <c r="L272" s="257"/>
      <c r="M272" s="257"/>
      <c r="N272" s="257"/>
      <c r="O272" s="257"/>
      <c r="P272" s="257"/>
      <c r="Q272" s="258"/>
    </row>
    <row r="273" hidden="1" spans="1:17">
      <c r="A273" s="250" t="s">
        <v>959</v>
      </c>
      <c r="B273" s="217" t="s">
        <v>960</v>
      </c>
      <c r="C273" s="257">
        <v>33.328979</v>
      </c>
      <c r="D273" s="257">
        <v>33.328979</v>
      </c>
      <c r="E273" s="257">
        <v>33.328979</v>
      </c>
      <c r="F273" s="257"/>
      <c r="G273" s="257"/>
      <c r="H273" s="257"/>
      <c r="I273" s="257"/>
      <c r="J273" s="257"/>
      <c r="K273" s="257"/>
      <c r="L273" s="257"/>
      <c r="M273" s="257"/>
      <c r="N273" s="257"/>
      <c r="O273" s="257"/>
      <c r="P273" s="257"/>
      <c r="Q273" s="258"/>
    </row>
    <row r="274" hidden="1" spans="1:17">
      <c r="A274" s="250"/>
      <c r="B274" s="255" t="s">
        <v>961</v>
      </c>
      <c r="C274" s="256">
        <f>SUMIF($A:$A,"818???",C:C)</f>
        <v>6213.397362</v>
      </c>
      <c r="D274" s="256">
        <f>SUMIF($A:$A,"818???",D:D)</f>
        <v>6213.397362</v>
      </c>
      <c r="E274" s="256">
        <f>SUMIF($A:$A,"818???",E:E)</f>
        <v>5213.397362</v>
      </c>
      <c r="F274" s="256">
        <f>SUMIF($A:$A,"818???",F:F)</f>
        <v>1000</v>
      </c>
      <c r="G274" s="256">
        <f>SUMIF($A:$A,"818???",G:G)</f>
        <v>0</v>
      </c>
      <c r="H274" s="256">
        <f>SUMIF($A:$A,"818???",H:H)</f>
        <v>0</v>
      </c>
      <c r="I274" s="256">
        <f>SUMIF($A:$A,"818???",I:I)</f>
        <v>1000</v>
      </c>
      <c r="J274" s="256">
        <f>SUMIF($A:$A,"818???",J:J)</f>
        <v>0</v>
      </c>
      <c r="K274" s="256">
        <f>SUMIF($A:$A,"818???",K:K)</f>
        <v>0</v>
      </c>
      <c r="L274" s="256">
        <f>SUMIF($A:$A,"818???",L:L)</f>
        <v>0</v>
      </c>
      <c r="M274" s="256">
        <f>SUMIF($A:$A,"818???",M:M)</f>
        <v>0</v>
      </c>
      <c r="N274" s="256">
        <f>SUMIF($A:$A,"818???",N:N)</f>
        <v>0</v>
      </c>
      <c r="O274" s="256">
        <f>SUMIF($A:$A,"818???",O:O)</f>
        <v>0</v>
      </c>
      <c r="P274" s="256">
        <f>SUMIF($A:$A,"818???",P:P)</f>
        <v>0</v>
      </c>
      <c r="Q274" s="258"/>
    </row>
    <row r="275" hidden="1" spans="1:17">
      <c r="A275" s="250" t="s">
        <v>962</v>
      </c>
      <c r="B275" s="217" t="s">
        <v>963</v>
      </c>
      <c r="C275" s="257">
        <v>5036.552738</v>
      </c>
      <c r="D275" s="257">
        <v>5036.552738</v>
      </c>
      <c r="E275" s="257">
        <v>4036.552738</v>
      </c>
      <c r="F275" s="257">
        <v>1000</v>
      </c>
      <c r="G275" s="257"/>
      <c r="H275" s="257"/>
      <c r="I275" s="257">
        <v>1000</v>
      </c>
      <c r="J275" s="257"/>
      <c r="K275" s="257"/>
      <c r="L275" s="257"/>
      <c r="M275" s="257"/>
      <c r="N275" s="257"/>
      <c r="O275" s="257"/>
      <c r="P275" s="257"/>
      <c r="Q275" s="258"/>
    </row>
    <row r="276" hidden="1" spans="1:17">
      <c r="A276" s="250" t="s">
        <v>964</v>
      </c>
      <c r="B276" s="217" t="s">
        <v>965</v>
      </c>
      <c r="C276" s="257">
        <v>314.356454</v>
      </c>
      <c r="D276" s="257">
        <v>314.356454</v>
      </c>
      <c r="E276" s="257">
        <v>314.356454</v>
      </c>
      <c r="F276" s="257"/>
      <c r="G276" s="257"/>
      <c r="H276" s="257"/>
      <c r="I276" s="257"/>
      <c r="J276" s="257"/>
      <c r="K276" s="257"/>
      <c r="L276" s="257"/>
      <c r="M276" s="257"/>
      <c r="N276" s="257"/>
      <c r="O276" s="257"/>
      <c r="P276" s="257"/>
      <c r="Q276" s="258"/>
    </row>
    <row r="277" hidden="1" spans="1:17">
      <c r="A277" s="250" t="s">
        <v>966</v>
      </c>
      <c r="B277" s="217" t="s">
        <v>967</v>
      </c>
      <c r="C277" s="257">
        <v>357.959782</v>
      </c>
      <c r="D277" s="257">
        <v>357.959782</v>
      </c>
      <c r="E277" s="257">
        <v>357.959782</v>
      </c>
      <c r="F277" s="257"/>
      <c r="G277" s="257"/>
      <c r="H277" s="257"/>
      <c r="I277" s="257"/>
      <c r="J277" s="257"/>
      <c r="K277" s="257"/>
      <c r="L277" s="257"/>
      <c r="M277" s="257"/>
      <c r="N277" s="257"/>
      <c r="O277" s="257"/>
      <c r="P277" s="257"/>
      <c r="Q277" s="258"/>
    </row>
    <row r="278" hidden="1" spans="1:17">
      <c r="A278" s="250" t="s">
        <v>968</v>
      </c>
      <c r="B278" s="217" t="s">
        <v>969</v>
      </c>
      <c r="C278" s="257">
        <v>456.60183</v>
      </c>
      <c r="D278" s="257">
        <v>456.60183</v>
      </c>
      <c r="E278" s="257">
        <v>456.60183</v>
      </c>
      <c r="F278" s="257"/>
      <c r="G278" s="257"/>
      <c r="H278" s="257"/>
      <c r="I278" s="257"/>
      <c r="J278" s="257"/>
      <c r="K278" s="257"/>
      <c r="L278" s="257"/>
      <c r="M278" s="257"/>
      <c r="N278" s="257"/>
      <c r="O278" s="257"/>
      <c r="P278" s="257"/>
      <c r="Q278" s="258"/>
    </row>
    <row r="279" hidden="1" spans="1:17">
      <c r="A279" s="250" t="s">
        <v>970</v>
      </c>
      <c r="B279" s="217" t="s">
        <v>971</v>
      </c>
      <c r="C279" s="257">
        <v>47.926558</v>
      </c>
      <c r="D279" s="257">
        <v>47.926558</v>
      </c>
      <c r="E279" s="257">
        <v>47.926558</v>
      </c>
      <c r="F279" s="257"/>
      <c r="G279" s="257"/>
      <c r="H279" s="257"/>
      <c r="I279" s="257"/>
      <c r="J279" s="257"/>
      <c r="K279" s="257"/>
      <c r="L279" s="257"/>
      <c r="M279" s="257"/>
      <c r="N279" s="257"/>
      <c r="O279" s="257"/>
      <c r="P279" s="257"/>
      <c r="Q279" s="258"/>
    </row>
    <row r="280" hidden="1" spans="1:17">
      <c r="A280" s="250"/>
      <c r="B280" s="255" t="s">
        <v>972</v>
      </c>
      <c r="C280" s="256">
        <f>SUMIF($A:$A,"819???",C:C)</f>
        <v>2676.809404</v>
      </c>
      <c r="D280" s="256">
        <f>SUMIF($A:$A,"819???",D:D)</f>
        <v>2676.809404</v>
      </c>
      <c r="E280" s="256">
        <f>SUMIF($A:$A,"819???",E:E)</f>
        <v>2676.809404</v>
      </c>
      <c r="F280" s="256">
        <f>SUMIF($A:$A,"819???",F:F)</f>
        <v>0</v>
      </c>
      <c r="G280" s="256">
        <f>SUMIF($A:$A,"819???",G:G)</f>
        <v>0</v>
      </c>
      <c r="H280" s="256">
        <f>SUMIF($A:$A,"819???",H:H)</f>
        <v>0</v>
      </c>
      <c r="I280" s="256">
        <f>SUMIF($A:$A,"819???",I:I)</f>
        <v>0</v>
      </c>
      <c r="J280" s="256">
        <f>SUMIF($A:$A,"819???",J:J)</f>
        <v>0</v>
      </c>
      <c r="K280" s="256">
        <f>SUMIF($A:$A,"819???",K:K)</f>
        <v>0</v>
      </c>
      <c r="L280" s="256">
        <f>SUMIF($A:$A,"819???",L:L)</f>
        <v>0</v>
      </c>
      <c r="M280" s="256">
        <f>SUMIF($A:$A,"819???",M:M)</f>
        <v>0</v>
      </c>
      <c r="N280" s="256">
        <f>SUMIF($A:$A,"819???",N:N)</f>
        <v>0</v>
      </c>
      <c r="O280" s="256">
        <f>SUMIF($A:$A,"819???",O:O)</f>
        <v>0</v>
      </c>
      <c r="P280" s="256">
        <f>SUMIF($A:$A,"819???",P:P)</f>
        <v>0</v>
      </c>
      <c r="Q280" s="258"/>
    </row>
    <row r="281" hidden="1" spans="1:17">
      <c r="A281" s="250" t="s">
        <v>973</v>
      </c>
      <c r="B281" s="217" t="s">
        <v>974</v>
      </c>
      <c r="C281" s="257">
        <v>284.028893</v>
      </c>
      <c r="D281" s="257">
        <v>284.028893</v>
      </c>
      <c r="E281" s="257">
        <v>284.028893</v>
      </c>
      <c r="F281" s="257"/>
      <c r="G281" s="257"/>
      <c r="H281" s="257"/>
      <c r="I281" s="257"/>
      <c r="J281" s="257"/>
      <c r="K281" s="257"/>
      <c r="L281" s="257"/>
      <c r="M281" s="257"/>
      <c r="N281" s="257"/>
      <c r="O281" s="257"/>
      <c r="P281" s="257"/>
      <c r="Q281" s="258"/>
    </row>
    <row r="282" hidden="1" spans="1:17">
      <c r="A282" s="250" t="s">
        <v>975</v>
      </c>
      <c r="B282" s="217" t="s">
        <v>976</v>
      </c>
      <c r="C282" s="257">
        <v>1774.399269</v>
      </c>
      <c r="D282" s="257">
        <v>1774.399269</v>
      </c>
      <c r="E282" s="257">
        <v>1774.399269</v>
      </c>
      <c r="F282" s="257"/>
      <c r="G282" s="257"/>
      <c r="H282" s="257"/>
      <c r="I282" s="257"/>
      <c r="J282" s="257"/>
      <c r="K282" s="257"/>
      <c r="L282" s="257"/>
      <c r="M282" s="257"/>
      <c r="N282" s="257"/>
      <c r="O282" s="257"/>
      <c r="P282" s="257"/>
      <c r="Q282" s="258"/>
    </row>
    <row r="283" hidden="1" spans="1:17">
      <c r="A283" s="250" t="s">
        <v>977</v>
      </c>
      <c r="B283" s="217" t="s">
        <v>978</v>
      </c>
      <c r="C283" s="257">
        <v>182.280055</v>
      </c>
      <c r="D283" s="257">
        <v>182.280055</v>
      </c>
      <c r="E283" s="257">
        <v>182.280055</v>
      </c>
      <c r="F283" s="257"/>
      <c r="G283" s="257"/>
      <c r="H283" s="257"/>
      <c r="I283" s="257"/>
      <c r="J283" s="257"/>
      <c r="K283" s="257"/>
      <c r="L283" s="257"/>
      <c r="M283" s="257"/>
      <c r="N283" s="257"/>
      <c r="O283" s="257"/>
      <c r="P283" s="257"/>
      <c r="Q283" s="258"/>
    </row>
    <row r="284" hidden="1" spans="1:17">
      <c r="A284" s="250" t="s">
        <v>979</v>
      </c>
      <c r="B284" s="217" t="s">
        <v>980</v>
      </c>
      <c r="C284" s="257">
        <v>373.883479</v>
      </c>
      <c r="D284" s="257">
        <v>373.883479</v>
      </c>
      <c r="E284" s="257">
        <v>373.883479</v>
      </c>
      <c r="F284" s="257"/>
      <c r="G284" s="257"/>
      <c r="H284" s="257"/>
      <c r="I284" s="257"/>
      <c r="J284" s="257"/>
      <c r="K284" s="257"/>
      <c r="L284" s="257"/>
      <c r="M284" s="257"/>
      <c r="N284" s="257"/>
      <c r="O284" s="257"/>
      <c r="P284" s="257"/>
      <c r="Q284" s="258"/>
    </row>
    <row r="285" hidden="1" spans="1:17">
      <c r="A285" s="250" t="s">
        <v>981</v>
      </c>
      <c r="B285" s="217" t="s">
        <v>982</v>
      </c>
      <c r="C285" s="257">
        <v>62.217708</v>
      </c>
      <c r="D285" s="257">
        <v>62.217708</v>
      </c>
      <c r="E285" s="257">
        <v>62.217708</v>
      </c>
      <c r="F285" s="257"/>
      <c r="G285" s="257"/>
      <c r="H285" s="257"/>
      <c r="I285" s="257"/>
      <c r="J285" s="257"/>
      <c r="K285" s="257"/>
      <c r="L285" s="257"/>
      <c r="M285" s="257"/>
      <c r="N285" s="257"/>
      <c r="O285" s="257"/>
      <c r="P285" s="257"/>
      <c r="Q285" s="258"/>
    </row>
    <row r="286" hidden="1" spans="1:17">
      <c r="A286" s="250"/>
      <c r="B286" s="255" t="s">
        <v>983</v>
      </c>
      <c r="C286" s="256">
        <f>SUMIF($A:$A,"820???",C:C)</f>
        <v>1472.366031</v>
      </c>
      <c r="D286" s="256">
        <f>SUMIF($A:$A,"820???",D:D)</f>
        <v>1472.366031</v>
      </c>
      <c r="E286" s="256">
        <f>SUMIF($A:$A,"820???",E:E)</f>
        <v>1172.366031</v>
      </c>
      <c r="F286" s="256">
        <f>SUMIF($A:$A,"820???",F:F)</f>
        <v>300</v>
      </c>
      <c r="G286" s="256">
        <f>SUMIF($A:$A,"820???",G:G)</f>
        <v>0</v>
      </c>
      <c r="H286" s="256">
        <f>SUMIF($A:$A,"820???",H:H)</f>
        <v>0</v>
      </c>
      <c r="I286" s="256">
        <f>SUMIF($A:$A,"820???",I:I)</f>
        <v>300</v>
      </c>
      <c r="J286" s="256">
        <f>SUMIF($A:$A,"820???",J:J)</f>
        <v>0</v>
      </c>
      <c r="K286" s="256">
        <f>SUMIF($A:$A,"820???",K:K)</f>
        <v>0</v>
      </c>
      <c r="L286" s="256">
        <f>SUMIF($A:$A,"820???",L:L)</f>
        <v>0</v>
      </c>
      <c r="M286" s="256">
        <f>SUMIF($A:$A,"820???",M:M)</f>
        <v>0</v>
      </c>
      <c r="N286" s="256">
        <f>SUMIF($A:$A,"820???",N:N)</f>
        <v>0</v>
      </c>
      <c r="O286" s="256">
        <f>SUMIF($A:$A,"820???",O:O)</f>
        <v>0</v>
      </c>
      <c r="P286" s="256">
        <f>SUMIF($A:$A,"820???",P:P)</f>
        <v>0</v>
      </c>
      <c r="Q286" s="258"/>
    </row>
    <row r="287" hidden="1" spans="1:17">
      <c r="A287" s="250" t="s">
        <v>984</v>
      </c>
      <c r="B287" s="217" t="s">
        <v>985</v>
      </c>
      <c r="C287" s="257">
        <v>1275.087284</v>
      </c>
      <c r="D287" s="257">
        <v>1275.087284</v>
      </c>
      <c r="E287" s="257">
        <v>975.087284</v>
      </c>
      <c r="F287" s="257">
        <v>300</v>
      </c>
      <c r="G287" s="257"/>
      <c r="H287" s="257"/>
      <c r="I287" s="257">
        <v>300</v>
      </c>
      <c r="J287" s="257"/>
      <c r="K287" s="257"/>
      <c r="L287" s="257"/>
      <c r="M287" s="257"/>
      <c r="N287" s="257"/>
      <c r="O287" s="257"/>
      <c r="P287" s="257"/>
      <c r="Q287" s="258"/>
    </row>
    <row r="288" hidden="1" spans="1:17">
      <c r="A288" s="250" t="s">
        <v>986</v>
      </c>
      <c r="B288" s="217" t="s">
        <v>987</v>
      </c>
      <c r="C288" s="257">
        <v>144.976006</v>
      </c>
      <c r="D288" s="257">
        <v>144.976006</v>
      </c>
      <c r="E288" s="257">
        <v>144.976006</v>
      </c>
      <c r="F288" s="257"/>
      <c r="G288" s="257"/>
      <c r="H288" s="257"/>
      <c r="I288" s="257"/>
      <c r="J288" s="257"/>
      <c r="K288" s="257"/>
      <c r="L288" s="257"/>
      <c r="M288" s="257"/>
      <c r="N288" s="257"/>
      <c r="O288" s="257"/>
      <c r="P288" s="257"/>
      <c r="Q288" s="258"/>
    </row>
    <row r="289" hidden="1" spans="1:17">
      <c r="A289" s="250" t="s">
        <v>988</v>
      </c>
      <c r="B289" s="217" t="s">
        <v>989</v>
      </c>
      <c r="C289" s="257">
        <v>19.835076</v>
      </c>
      <c r="D289" s="257">
        <v>19.835076</v>
      </c>
      <c r="E289" s="257">
        <v>19.835076</v>
      </c>
      <c r="F289" s="257"/>
      <c r="G289" s="257"/>
      <c r="H289" s="257"/>
      <c r="I289" s="257"/>
      <c r="J289" s="257"/>
      <c r="K289" s="257"/>
      <c r="L289" s="257"/>
      <c r="M289" s="257"/>
      <c r="N289" s="257"/>
      <c r="O289" s="257"/>
      <c r="P289" s="257"/>
      <c r="Q289" s="258"/>
    </row>
    <row r="290" hidden="1" spans="1:17">
      <c r="A290" s="250" t="s">
        <v>990</v>
      </c>
      <c r="B290" s="217" t="s">
        <v>991</v>
      </c>
      <c r="C290" s="257">
        <v>15.568807</v>
      </c>
      <c r="D290" s="257">
        <v>15.568807</v>
      </c>
      <c r="E290" s="257">
        <v>15.568807</v>
      </c>
      <c r="F290" s="257"/>
      <c r="G290" s="257"/>
      <c r="H290" s="257"/>
      <c r="I290" s="257"/>
      <c r="J290" s="257"/>
      <c r="K290" s="257"/>
      <c r="L290" s="257"/>
      <c r="M290" s="257"/>
      <c r="N290" s="257"/>
      <c r="O290" s="257"/>
      <c r="P290" s="257"/>
      <c r="Q290" s="258"/>
    </row>
    <row r="291" hidden="1" spans="1:17">
      <c r="A291" s="250" t="s">
        <v>992</v>
      </c>
      <c r="B291" s="217" t="s">
        <v>993</v>
      </c>
      <c r="C291" s="257">
        <v>16.898858</v>
      </c>
      <c r="D291" s="257">
        <v>16.898858</v>
      </c>
      <c r="E291" s="257">
        <v>16.898858</v>
      </c>
      <c r="F291" s="257"/>
      <c r="G291" s="257"/>
      <c r="H291" s="257"/>
      <c r="I291" s="257"/>
      <c r="J291" s="257"/>
      <c r="K291" s="257"/>
      <c r="L291" s="257"/>
      <c r="M291" s="257"/>
      <c r="N291" s="257"/>
      <c r="O291" s="257"/>
      <c r="P291" s="257"/>
      <c r="Q291" s="258"/>
    </row>
    <row r="292" hidden="1" spans="1:17">
      <c r="A292" s="250"/>
      <c r="B292" s="255" t="s">
        <v>994</v>
      </c>
      <c r="C292" s="256">
        <f>SUMIF($A:$A,"821???",C:C)</f>
        <v>34403.032687</v>
      </c>
      <c r="D292" s="256">
        <f>SUMIF($A:$A,"821???",D:D)</f>
        <v>34403.032687</v>
      </c>
      <c r="E292" s="256">
        <f>SUMIF($A:$A,"821???",E:E)</f>
        <v>29403.032687</v>
      </c>
      <c r="F292" s="256">
        <f>SUMIF($A:$A,"821???",F:F)</f>
        <v>5000</v>
      </c>
      <c r="G292" s="256">
        <f>SUMIF($A:$A,"821???",G:G)</f>
        <v>0</v>
      </c>
      <c r="H292" s="256">
        <f>SUMIF($A:$A,"821???",H:H)</f>
        <v>0</v>
      </c>
      <c r="I292" s="256">
        <f>SUMIF($A:$A,"821???",I:I)</f>
        <v>5000</v>
      </c>
      <c r="J292" s="256">
        <f>SUMIF($A:$A,"821???",J:J)</f>
        <v>0</v>
      </c>
      <c r="K292" s="256">
        <f>SUMIF($A:$A,"821???",K:K)</f>
        <v>0</v>
      </c>
      <c r="L292" s="256">
        <f>SUMIF($A:$A,"821???",L:L)</f>
        <v>0</v>
      </c>
      <c r="M292" s="256">
        <f>SUMIF($A:$A,"821???",M:M)</f>
        <v>0</v>
      </c>
      <c r="N292" s="256">
        <f>SUMIF($A:$A,"821???",N:N)</f>
        <v>0</v>
      </c>
      <c r="O292" s="256">
        <f>SUMIF($A:$A,"821???",O:O)</f>
        <v>0</v>
      </c>
      <c r="P292" s="256">
        <f>SUMIF($A:$A,"821???",P:P)</f>
        <v>0</v>
      </c>
      <c r="Q292" s="258"/>
    </row>
    <row r="293" hidden="1" spans="1:17">
      <c r="A293" s="250" t="s">
        <v>995</v>
      </c>
      <c r="B293" s="217" t="s">
        <v>996</v>
      </c>
      <c r="C293" s="257">
        <v>33427.497484</v>
      </c>
      <c r="D293" s="257">
        <v>33427.497484</v>
      </c>
      <c r="E293" s="257">
        <v>28427.497484</v>
      </c>
      <c r="F293" s="257">
        <v>5000</v>
      </c>
      <c r="G293" s="257"/>
      <c r="H293" s="257"/>
      <c r="I293" s="257">
        <v>5000</v>
      </c>
      <c r="J293" s="257"/>
      <c r="K293" s="257"/>
      <c r="L293" s="257"/>
      <c r="M293" s="257"/>
      <c r="N293" s="257"/>
      <c r="O293" s="257"/>
      <c r="P293" s="257"/>
      <c r="Q293" s="258"/>
    </row>
    <row r="294" hidden="1" spans="1:17">
      <c r="A294" s="250" t="s">
        <v>997</v>
      </c>
      <c r="B294" s="217" t="s">
        <v>998</v>
      </c>
      <c r="C294" s="257">
        <v>438.053282</v>
      </c>
      <c r="D294" s="257">
        <v>438.053282</v>
      </c>
      <c r="E294" s="257">
        <v>438.053282</v>
      </c>
      <c r="F294" s="257"/>
      <c r="G294" s="257"/>
      <c r="H294" s="257"/>
      <c r="I294" s="257"/>
      <c r="J294" s="257"/>
      <c r="K294" s="257"/>
      <c r="L294" s="257"/>
      <c r="M294" s="257"/>
      <c r="N294" s="257"/>
      <c r="O294" s="257"/>
      <c r="P294" s="257"/>
      <c r="Q294" s="258"/>
    </row>
    <row r="295" hidden="1" spans="1:17">
      <c r="A295" s="250" t="s">
        <v>999</v>
      </c>
      <c r="B295" s="217" t="s">
        <v>1000</v>
      </c>
      <c r="C295" s="257">
        <v>160.700974</v>
      </c>
      <c r="D295" s="257">
        <v>160.700974</v>
      </c>
      <c r="E295" s="257">
        <v>160.700974</v>
      </c>
      <c r="F295" s="257"/>
      <c r="G295" s="257"/>
      <c r="H295" s="257"/>
      <c r="I295" s="257"/>
      <c r="J295" s="257"/>
      <c r="K295" s="257"/>
      <c r="L295" s="257"/>
      <c r="M295" s="257"/>
      <c r="N295" s="257"/>
      <c r="O295" s="257"/>
      <c r="P295" s="257"/>
      <c r="Q295" s="258"/>
    </row>
    <row r="296" hidden="1" spans="1:17">
      <c r="A296" s="250" t="s">
        <v>1001</v>
      </c>
      <c r="B296" s="217" t="s">
        <v>1002</v>
      </c>
      <c r="C296" s="257">
        <v>376.780947</v>
      </c>
      <c r="D296" s="257">
        <v>376.780947</v>
      </c>
      <c r="E296" s="257">
        <v>376.780947</v>
      </c>
      <c r="F296" s="257"/>
      <c r="G296" s="257"/>
      <c r="H296" s="257"/>
      <c r="I296" s="257"/>
      <c r="J296" s="257"/>
      <c r="K296" s="257"/>
      <c r="L296" s="257"/>
      <c r="M296" s="257"/>
      <c r="N296" s="257"/>
      <c r="O296" s="257"/>
      <c r="P296" s="257"/>
      <c r="Q296" s="258"/>
    </row>
    <row r="297" ht="16.5" spans="1:17">
      <c r="A297" s="250"/>
      <c r="B297" s="208" t="s">
        <v>1003</v>
      </c>
      <c r="C297" s="205">
        <f t="shared" ref="C297:I297" si="9">SUM(C298:C310)</f>
        <v>156718.64</v>
      </c>
      <c r="D297" s="205">
        <f t="shared" si="9"/>
        <v>156718.64</v>
      </c>
      <c r="E297" s="205">
        <f t="shared" si="9"/>
        <v>156618.64</v>
      </c>
      <c r="F297" s="205">
        <f t="shared" si="9"/>
        <v>100</v>
      </c>
      <c r="G297" s="205">
        <f t="shared" si="9"/>
        <v>0</v>
      </c>
      <c r="H297" s="205">
        <f t="shared" si="9"/>
        <v>0</v>
      </c>
      <c r="I297" s="205">
        <f t="shared" si="9"/>
        <v>100</v>
      </c>
      <c r="J297" s="205"/>
      <c r="K297" s="205"/>
      <c r="L297" s="205"/>
      <c r="M297" s="205"/>
      <c r="N297" s="205"/>
      <c r="O297" s="205"/>
      <c r="P297" s="205"/>
      <c r="Q297" s="213" t="s">
        <v>578</v>
      </c>
    </row>
    <row r="298" hidden="1" spans="1:17">
      <c r="A298" s="250"/>
      <c r="B298" s="217" t="s">
        <v>1004</v>
      </c>
      <c r="C298" s="257">
        <v>2751</v>
      </c>
      <c r="D298" s="257">
        <v>2751</v>
      </c>
      <c r="E298" s="257">
        <v>2751</v>
      </c>
      <c r="F298" s="257"/>
      <c r="G298" s="257"/>
      <c r="H298" s="257"/>
      <c r="I298" s="257"/>
      <c r="J298" s="257"/>
      <c r="K298" s="257"/>
      <c r="L298" s="257"/>
      <c r="M298" s="257"/>
      <c r="N298" s="257"/>
      <c r="O298" s="257"/>
      <c r="P298" s="257"/>
      <c r="Q298" s="258"/>
    </row>
    <row r="299" hidden="1" spans="1:17">
      <c r="A299" s="250"/>
      <c r="B299" s="217" t="s">
        <v>1005</v>
      </c>
      <c r="C299" s="257">
        <v>15000</v>
      </c>
      <c r="D299" s="257">
        <v>15000</v>
      </c>
      <c r="E299" s="257">
        <v>15000</v>
      </c>
      <c r="F299" s="257"/>
      <c r="G299" s="257"/>
      <c r="H299" s="257"/>
      <c r="I299" s="257"/>
      <c r="J299" s="257"/>
      <c r="K299" s="257"/>
      <c r="L299" s="257"/>
      <c r="M299" s="257"/>
      <c r="N299" s="257"/>
      <c r="O299" s="257"/>
      <c r="P299" s="257"/>
      <c r="Q299" s="258"/>
    </row>
    <row r="300" hidden="1" spans="1:17">
      <c r="A300" s="250"/>
      <c r="B300" s="217" t="s">
        <v>1006</v>
      </c>
      <c r="C300" s="257">
        <v>36324</v>
      </c>
      <c r="D300" s="257">
        <v>36324</v>
      </c>
      <c r="E300" s="257">
        <v>36324</v>
      </c>
      <c r="F300" s="257"/>
      <c r="G300" s="257"/>
      <c r="H300" s="257"/>
      <c r="I300" s="257"/>
      <c r="J300" s="257"/>
      <c r="K300" s="257"/>
      <c r="L300" s="257"/>
      <c r="M300" s="257"/>
      <c r="N300" s="257"/>
      <c r="O300" s="257"/>
      <c r="P300" s="257"/>
      <c r="Q300" s="258"/>
    </row>
    <row r="301" hidden="1" spans="1:17">
      <c r="A301" s="250"/>
      <c r="B301" s="217" t="s">
        <v>1007</v>
      </c>
      <c r="C301" s="257">
        <f>27903-2653</f>
        <v>25250</v>
      </c>
      <c r="D301" s="257">
        <f>27903-2653</f>
        <v>25250</v>
      </c>
      <c r="E301" s="257">
        <f>27903-2653-100</f>
        <v>25150</v>
      </c>
      <c r="F301" s="257">
        <v>100</v>
      </c>
      <c r="G301" s="257"/>
      <c r="H301" s="257"/>
      <c r="I301" s="257">
        <v>100</v>
      </c>
      <c r="J301" s="257"/>
      <c r="K301" s="257"/>
      <c r="L301" s="257"/>
      <c r="M301" s="257"/>
      <c r="N301" s="257"/>
      <c r="O301" s="257"/>
      <c r="P301" s="257"/>
      <c r="Q301" s="258"/>
    </row>
    <row r="302" hidden="1" spans="1:17">
      <c r="A302" s="250"/>
      <c r="B302" s="217" t="s">
        <v>1008</v>
      </c>
      <c r="C302" s="257">
        <v>225.44</v>
      </c>
      <c r="D302" s="257">
        <v>225.44</v>
      </c>
      <c r="E302" s="257">
        <v>225.44</v>
      </c>
      <c r="F302" s="257"/>
      <c r="G302" s="257"/>
      <c r="H302" s="257"/>
      <c r="I302" s="257"/>
      <c r="J302" s="257"/>
      <c r="K302" s="257"/>
      <c r="L302" s="257"/>
      <c r="M302" s="257"/>
      <c r="N302" s="257"/>
      <c r="O302" s="257"/>
      <c r="P302" s="257"/>
      <c r="Q302" s="258"/>
    </row>
    <row r="303" hidden="1" spans="1:17">
      <c r="A303" s="250"/>
      <c r="B303" s="217" t="s">
        <v>1009</v>
      </c>
      <c r="C303" s="257">
        <v>16773</v>
      </c>
      <c r="D303" s="257">
        <v>16773</v>
      </c>
      <c r="E303" s="257">
        <v>16773</v>
      </c>
      <c r="F303" s="257"/>
      <c r="G303" s="257"/>
      <c r="H303" s="257"/>
      <c r="I303" s="257"/>
      <c r="J303" s="257"/>
      <c r="K303" s="257"/>
      <c r="L303" s="257"/>
      <c r="M303" s="257"/>
      <c r="N303" s="257"/>
      <c r="O303" s="257"/>
      <c r="P303" s="257"/>
      <c r="Q303" s="258"/>
    </row>
    <row r="304" hidden="1" spans="1:17">
      <c r="A304" s="250"/>
      <c r="B304" s="217" t="s">
        <v>1010</v>
      </c>
      <c r="C304" s="257">
        <v>1290.2</v>
      </c>
      <c r="D304" s="257">
        <v>1290.2</v>
      </c>
      <c r="E304" s="257">
        <v>1290.2</v>
      </c>
      <c r="F304" s="257"/>
      <c r="G304" s="257"/>
      <c r="H304" s="257"/>
      <c r="I304" s="257"/>
      <c r="J304" s="257"/>
      <c r="K304" s="257"/>
      <c r="L304" s="257"/>
      <c r="M304" s="257"/>
      <c r="N304" s="257"/>
      <c r="O304" s="257"/>
      <c r="P304" s="257"/>
      <c r="Q304" s="258"/>
    </row>
    <row r="305" hidden="1" spans="1:17">
      <c r="A305" s="250"/>
      <c r="B305" s="217" t="s">
        <v>1011</v>
      </c>
      <c r="C305" s="257">
        <v>37530</v>
      </c>
      <c r="D305" s="257">
        <v>37530</v>
      </c>
      <c r="E305" s="257">
        <v>37530</v>
      </c>
      <c r="F305" s="257"/>
      <c r="G305" s="257"/>
      <c r="H305" s="257"/>
      <c r="I305" s="257"/>
      <c r="J305" s="257"/>
      <c r="K305" s="257"/>
      <c r="L305" s="257"/>
      <c r="M305" s="257"/>
      <c r="N305" s="257"/>
      <c r="O305" s="257"/>
      <c r="P305" s="257"/>
      <c r="Q305" s="258"/>
    </row>
    <row r="306" hidden="1" spans="1:17">
      <c r="A306" s="250"/>
      <c r="B306" s="217" t="s">
        <v>1012</v>
      </c>
      <c r="C306" s="257">
        <v>250</v>
      </c>
      <c r="D306" s="257">
        <v>250</v>
      </c>
      <c r="E306" s="257">
        <v>250</v>
      </c>
      <c r="F306" s="257"/>
      <c r="G306" s="257"/>
      <c r="H306" s="257"/>
      <c r="I306" s="257"/>
      <c r="J306" s="257"/>
      <c r="K306" s="257"/>
      <c r="L306" s="257"/>
      <c r="M306" s="257"/>
      <c r="N306" s="257"/>
      <c r="O306" s="257"/>
      <c r="P306" s="257"/>
      <c r="Q306" s="258"/>
    </row>
    <row r="307" hidden="1" spans="1:17">
      <c r="A307" s="250"/>
      <c r="B307" s="217" t="s">
        <v>1013</v>
      </c>
      <c r="C307" s="257">
        <v>120</v>
      </c>
      <c r="D307" s="257">
        <v>120</v>
      </c>
      <c r="E307" s="257">
        <v>120</v>
      </c>
      <c r="F307" s="257"/>
      <c r="G307" s="257"/>
      <c r="H307" s="257"/>
      <c r="I307" s="257"/>
      <c r="J307" s="257"/>
      <c r="K307" s="257"/>
      <c r="L307" s="257"/>
      <c r="M307" s="257"/>
      <c r="N307" s="257"/>
      <c r="O307" s="257"/>
      <c r="P307" s="257"/>
      <c r="Q307" s="258"/>
    </row>
    <row r="308" hidden="1" spans="1:17">
      <c r="A308" s="250"/>
      <c r="B308" s="217" t="s">
        <v>1014</v>
      </c>
      <c r="C308" s="257">
        <v>3656</v>
      </c>
      <c r="D308" s="257">
        <v>3656</v>
      </c>
      <c r="E308" s="257">
        <v>3656</v>
      </c>
      <c r="F308" s="257"/>
      <c r="G308" s="257"/>
      <c r="H308" s="257"/>
      <c r="I308" s="257"/>
      <c r="J308" s="257"/>
      <c r="K308" s="257"/>
      <c r="L308" s="257"/>
      <c r="M308" s="257"/>
      <c r="N308" s="257"/>
      <c r="O308" s="257"/>
      <c r="P308" s="257"/>
      <c r="Q308" s="258"/>
    </row>
    <row r="309" hidden="1" spans="1:17">
      <c r="A309" s="250"/>
      <c r="B309" s="217" t="s">
        <v>1015</v>
      </c>
      <c r="C309" s="257">
        <v>201</v>
      </c>
      <c r="D309" s="257">
        <v>201</v>
      </c>
      <c r="E309" s="257">
        <v>201</v>
      </c>
      <c r="F309" s="257"/>
      <c r="G309" s="257"/>
      <c r="H309" s="257"/>
      <c r="I309" s="257"/>
      <c r="J309" s="257"/>
      <c r="K309" s="257"/>
      <c r="L309" s="257"/>
      <c r="M309" s="257"/>
      <c r="N309" s="257"/>
      <c r="O309" s="257"/>
      <c r="P309" s="257"/>
      <c r="Q309" s="258"/>
    </row>
    <row r="310" hidden="1" spans="1:17">
      <c r="A310" s="250"/>
      <c r="B310" s="210" t="s">
        <v>1016</v>
      </c>
      <c r="C310" s="257">
        <v>17348</v>
      </c>
      <c r="D310" s="257">
        <v>17348</v>
      </c>
      <c r="E310" s="257">
        <v>17348</v>
      </c>
      <c r="F310" s="257"/>
      <c r="G310" s="257"/>
      <c r="H310" s="257"/>
      <c r="I310" s="257"/>
      <c r="J310" s="257"/>
      <c r="K310" s="257"/>
      <c r="L310" s="257"/>
      <c r="M310" s="257"/>
      <c r="N310" s="257"/>
      <c r="O310" s="257"/>
      <c r="P310" s="257"/>
      <c r="Q310" s="258"/>
    </row>
    <row r="311" ht="16.5" spans="1:17">
      <c r="A311" s="250"/>
      <c r="B311" s="208" t="s">
        <v>1017</v>
      </c>
      <c r="C311" s="205">
        <v>26708</v>
      </c>
      <c r="D311" s="205">
        <v>26708</v>
      </c>
      <c r="E311" s="205">
        <v>26708</v>
      </c>
      <c r="F311" s="205"/>
      <c r="G311" s="205"/>
      <c r="H311" s="205"/>
      <c r="I311" s="205"/>
      <c r="J311" s="205"/>
      <c r="K311" s="205"/>
      <c r="L311" s="205"/>
      <c r="M311" s="205"/>
      <c r="N311" s="205"/>
      <c r="O311" s="205"/>
      <c r="P311" s="205"/>
      <c r="Q311" s="213" t="s">
        <v>578</v>
      </c>
    </row>
    <row r="312" ht="16.5" spans="1:17">
      <c r="A312" s="250"/>
      <c r="B312" s="208" t="s">
        <v>1018</v>
      </c>
      <c r="C312" s="205">
        <v>71559</v>
      </c>
      <c r="D312" s="205">
        <v>71559</v>
      </c>
      <c r="E312" s="205">
        <v>71559</v>
      </c>
      <c r="F312" s="205"/>
      <c r="G312" s="205"/>
      <c r="H312" s="205"/>
      <c r="I312" s="205"/>
      <c r="J312" s="205"/>
      <c r="K312" s="205"/>
      <c r="L312" s="205"/>
      <c r="M312" s="205"/>
      <c r="N312" s="205"/>
      <c r="O312" s="205"/>
      <c r="P312" s="205"/>
      <c r="Q312" s="213" t="s">
        <v>578</v>
      </c>
    </row>
  </sheetData>
  <autoFilter ref="A6:Q312">
    <filterColumn colId="16">
      <customFilters>
        <customFilter operator="equal" val="是"/>
      </customFilters>
    </filterColumn>
    <extLst/>
  </autoFilter>
  <mergeCells count="15">
    <mergeCell ref="D4:I4"/>
    <mergeCell ref="K4:P4"/>
    <mergeCell ref="F5:I5"/>
    <mergeCell ref="A4:A6"/>
    <mergeCell ref="B4:B6"/>
    <mergeCell ref="C4:C6"/>
    <mergeCell ref="D5:D6"/>
    <mergeCell ref="E5:E6"/>
    <mergeCell ref="J4:J6"/>
    <mergeCell ref="K5:K6"/>
    <mergeCell ref="L5:L6"/>
    <mergeCell ref="M5:M6"/>
    <mergeCell ref="N5:N6"/>
    <mergeCell ref="O5:O6"/>
    <mergeCell ref="P5:P6"/>
  </mergeCells>
  <printOptions horizontalCentered="1"/>
  <pageMargins left="0.78740157480315" right="0.590551181102362" top="0.984251968503937" bottom="0.78740157480315" header="0.31496062992126" footer="0.31496062992126"/>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outlinePr summaryBelow="0"/>
  </sheetPr>
  <dimension ref="A1:O2706"/>
  <sheetViews>
    <sheetView showZeros="0" view="pageBreakPreview" zoomScaleNormal="100" workbookViewId="0">
      <pane ySplit="5" topLeftCell="A1451" activePane="bottomLeft" state="frozen"/>
      <selection/>
      <selection pane="bottomLeft" activeCell="N1" sqref="N$1:N$1048576"/>
    </sheetView>
  </sheetViews>
  <sheetFormatPr defaultColWidth="9" defaultRowHeight="16.5"/>
  <cols>
    <col min="1" max="1" width="7.375" style="191" customWidth="1"/>
    <col min="2" max="2" width="29.75" style="192" customWidth="1"/>
    <col min="3" max="3" width="8.375" style="223" customWidth="1"/>
    <col min="4" max="4" width="8.125" style="223" customWidth="1"/>
    <col min="5" max="5" width="9.625" style="223" customWidth="1"/>
    <col min="6" max="6" width="7.625" style="223" customWidth="1"/>
    <col min="7" max="7" width="8.125" style="223" customWidth="1"/>
    <col min="8" max="10" width="7.625" style="223" customWidth="1"/>
    <col min="11" max="12" width="8.125" style="223" customWidth="1"/>
    <col min="13" max="13" width="7.625" style="223" customWidth="1"/>
    <col min="14" max="14" width="9" style="223" hidden="1" customWidth="1"/>
    <col min="15" max="15" width="12.625" style="223"/>
    <col min="16" max="16384" width="9" style="223"/>
  </cols>
  <sheetData>
    <row r="1" s="219" customFormat="1" ht="20.1" customHeight="1" spans="1:2">
      <c r="A1" s="224" t="s">
        <v>26</v>
      </c>
      <c r="B1" s="194"/>
    </row>
    <row r="2" s="220" customFormat="1" ht="45" customHeight="1" spans="1:13">
      <c r="A2" s="195" t="s">
        <v>1019</v>
      </c>
      <c r="B2" s="195"/>
      <c r="C2" s="195"/>
      <c r="D2" s="195"/>
      <c r="E2" s="195"/>
      <c r="F2" s="195"/>
      <c r="G2" s="195"/>
      <c r="H2" s="195"/>
      <c r="I2" s="195"/>
      <c r="J2" s="195"/>
      <c r="K2" s="195"/>
      <c r="L2" s="195"/>
      <c r="M2" s="195"/>
    </row>
    <row r="3" s="221" customFormat="1" ht="20.1" customHeight="1" spans="1:13">
      <c r="A3" s="196"/>
      <c r="B3" s="197"/>
      <c r="M3" s="212" t="s">
        <v>45</v>
      </c>
    </row>
    <row r="4" s="222" customFormat="1" ht="20.1" customHeight="1" spans="1:13">
      <c r="A4" s="198" t="s">
        <v>560</v>
      </c>
      <c r="B4" s="199" t="s">
        <v>1020</v>
      </c>
      <c r="C4" s="200" t="s">
        <v>562</v>
      </c>
      <c r="D4" s="200" t="s">
        <v>563</v>
      </c>
      <c r="E4" s="200"/>
      <c r="F4" s="200"/>
      <c r="G4" s="200" t="s">
        <v>1021</v>
      </c>
      <c r="H4" s="200" t="s">
        <v>565</v>
      </c>
      <c r="I4" s="200"/>
      <c r="J4" s="200"/>
      <c r="K4" s="200"/>
      <c r="L4" s="200"/>
      <c r="M4" s="200"/>
    </row>
    <row r="5" s="222" customFormat="1" ht="30" customHeight="1" spans="1:15">
      <c r="A5" s="198"/>
      <c r="B5" s="201"/>
      <c r="C5" s="202"/>
      <c r="D5" s="200" t="s">
        <v>568</v>
      </c>
      <c r="E5" s="200" t="s">
        <v>1022</v>
      </c>
      <c r="F5" s="200" t="s">
        <v>1023</v>
      </c>
      <c r="G5" s="202"/>
      <c r="H5" s="200" t="s">
        <v>568</v>
      </c>
      <c r="I5" s="200" t="s">
        <v>569</v>
      </c>
      <c r="J5" s="200" t="s">
        <v>1024</v>
      </c>
      <c r="K5" s="200" t="s">
        <v>1025</v>
      </c>
      <c r="L5" s="200" t="s">
        <v>1026</v>
      </c>
      <c r="M5" s="200" t="s">
        <v>573</v>
      </c>
      <c r="N5" s="222" t="s">
        <v>577</v>
      </c>
      <c r="O5" s="223"/>
    </row>
    <row r="6" spans="1:14">
      <c r="A6" s="225"/>
      <c r="B6" s="226" t="s">
        <v>562</v>
      </c>
      <c r="C6" s="205">
        <f>C7+C292+C482+C855+C1066+C1089+C1186+C1934</f>
        <v>374798.398345</v>
      </c>
      <c r="D6" s="205">
        <f t="shared" ref="D6:I6" si="0">SUM(D7,D292,D482,D855,D1066,D1089,D1186,D1934)</f>
        <v>270560.218073</v>
      </c>
      <c r="E6" s="205">
        <f t="shared" si="0"/>
        <v>267518.488022</v>
      </c>
      <c r="F6" s="205">
        <f t="shared" si="0"/>
        <v>3041.730051</v>
      </c>
      <c r="G6" s="205">
        <f t="shared" si="0"/>
        <v>3868</v>
      </c>
      <c r="H6" s="205">
        <f t="shared" si="0"/>
        <v>100370.180272</v>
      </c>
      <c r="I6" s="205">
        <f t="shared" si="0"/>
        <v>99600.180272</v>
      </c>
      <c r="J6" s="205"/>
      <c r="K6" s="205"/>
      <c r="L6" s="205"/>
      <c r="M6" s="205">
        <f>SUM(M7,M292,M482,M855,M1066,M1089,M1186,M1934)</f>
        <v>770</v>
      </c>
      <c r="N6" s="232" t="s">
        <v>578</v>
      </c>
    </row>
    <row r="7" spans="1:14">
      <c r="A7" s="225"/>
      <c r="B7" s="226" t="s">
        <v>579</v>
      </c>
      <c r="C7" s="205">
        <v>44320.726597</v>
      </c>
      <c r="D7" s="205">
        <v>44320.726597</v>
      </c>
      <c r="E7" s="205">
        <v>44320.726597</v>
      </c>
      <c r="F7" s="205"/>
      <c r="G7" s="205"/>
      <c r="H7" s="205"/>
      <c r="I7" s="205"/>
      <c r="J7" s="205"/>
      <c r="K7" s="205"/>
      <c r="L7" s="205"/>
      <c r="M7" s="205"/>
      <c r="N7" s="232" t="s">
        <v>578</v>
      </c>
    </row>
    <row r="8" spans="1:14">
      <c r="A8" s="391" t="s">
        <v>580</v>
      </c>
      <c r="B8" s="228" t="s">
        <v>581</v>
      </c>
      <c r="C8" s="229">
        <v>1478.495075</v>
      </c>
      <c r="D8" s="229">
        <v>1478.495075</v>
      </c>
      <c r="E8" s="229">
        <v>1478.495075</v>
      </c>
      <c r="F8" s="229"/>
      <c r="G8" s="229"/>
      <c r="H8" s="229"/>
      <c r="I8" s="229"/>
      <c r="J8" s="229"/>
      <c r="K8" s="229"/>
      <c r="L8" s="229"/>
      <c r="M8" s="229"/>
      <c r="N8" s="233" t="s">
        <v>578</v>
      </c>
    </row>
    <row r="9" hidden="1" spans="1:14">
      <c r="A9" s="37"/>
      <c r="B9" s="230" t="s">
        <v>1027</v>
      </c>
      <c r="C9" s="229">
        <v>10</v>
      </c>
      <c r="D9" s="229">
        <v>10</v>
      </c>
      <c r="E9" s="229">
        <v>10</v>
      </c>
      <c r="F9" s="229"/>
      <c r="G9" s="229"/>
      <c r="H9" s="229"/>
      <c r="I9" s="229"/>
      <c r="J9" s="229"/>
      <c r="K9" s="229"/>
      <c r="L9" s="229"/>
      <c r="M9" s="229"/>
      <c r="N9" s="232"/>
    </row>
    <row r="10" hidden="1" spans="1:14">
      <c r="A10" s="37"/>
      <c r="B10" s="230" t="s">
        <v>1028</v>
      </c>
      <c r="C10" s="229">
        <v>96</v>
      </c>
      <c r="D10" s="229">
        <v>96</v>
      </c>
      <c r="E10" s="229">
        <v>96</v>
      </c>
      <c r="F10" s="229"/>
      <c r="G10" s="229"/>
      <c r="H10" s="229"/>
      <c r="I10" s="229"/>
      <c r="J10" s="229"/>
      <c r="K10" s="229"/>
      <c r="L10" s="229"/>
      <c r="M10" s="229"/>
      <c r="N10" s="232"/>
    </row>
    <row r="11" hidden="1" spans="1:14">
      <c r="A11" s="37"/>
      <c r="B11" s="230" t="s">
        <v>1029</v>
      </c>
      <c r="C11" s="229">
        <v>111.69</v>
      </c>
      <c r="D11" s="229">
        <v>111.69</v>
      </c>
      <c r="E11" s="229">
        <v>111.69</v>
      </c>
      <c r="F11" s="229"/>
      <c r="G11" s="229"/>
      <c r="H11" s="229"/>
      <c r="I11" s="229"/>
      <c r="J11" s="229"/>
      <c r="K11" s="229"/>
      <c r="L11" s="229"/>
      <c r="M11" s="229"/>
      <c r="N11" s="232"/>
    </row>
    <row r="12" hidden="1" spans="1:14">
      <c r="A12" s="37"/>
      <c r="B12" s="230" t="s">
        <v>1030</v>
      </c>
      <c r="C12" s="229">
        <v>24</v>
      </c>
      <c r="D12" s="229">
        <v>24</v>
      </c>
      <c r="E12" s="229">
        <v>24</v>
      </c>
      <c r="F12" s="229"/>
      <c r="G12" s="229"/>
      <c r="H12" s="229"/>
      <c r="I12" s="229"/>
      <c r="J12" s="229"/>
      <c r="K12" s="229"/>
      <c r="L12" s="229"/>
      <c r="M12" s="229"/>
      <c r="N12" s="232"/>
    </row>
    <row r="13" hidden="1" spans="1:14">
      <c r="A13" s="37"/>
      <c r="B13" s="230" t="s">
        <v>1031</v>
      </c>
      <c r="C13" s="229">
        <v>52</v>
      </c>
      <c r="D13" s="229">
        <v>52</v>
      </c>
      <c r="E13" s="229">
        <v>52</v>
      </c>
      <c r="F13" s="229"/>
      <c r="G13" s="229"/>
      <c r="H13" s="229"/>
      <c r="I13" s="229"/>
      <c r="J13" s="229"/>
      <c r="K13" s="229"/>
      <c r="L13" s="229"/>
      <c r="M13" s="229"/>
      <c r="N13" s="232"/>
    </row>
    <row r="14" hidden="1" spans="1:14">
      <c r="A14" s="37"/>
      <c r="B14" s="230" t="s">
        <v>1032</v>
      </c>
      <c r="C14" s="229">
        <v>823.5343</v>
      </c>
      <c r="D14" s="229">
        <v>823.5343</v>
      </c>
      <c r="E14" s="229">
        <v>823.5343</v>
      </c>
      <c r="F14" s="229"/>
      <c r="G14" s="229"/>
      <c r="H14" s="229"/>
      <c r="I14" s="229"/>
      <c r="J14" s="229"/>
      <c r="K14" s="229"/>
      <c r="L14" s="229"/>
      <c r="M14" s="229"/>
      <c r="N14" s="232"/>
    </row>
    <row r="15" hidden="1" spans="1:14">
      <c r="A15" s="37"/>
      <c r="B15" s="230" t="s">
        <v>1033</v>
      </c>
      <c r="C15" s="229">
        <v>237.331977</v>
      </c>
      <c r="D15" s="229">
        <v>237.331977</v>
      </c>
      <c r="E15" s="229">
        <v>237.331977</v>
      </c>
      <c r="F15" s="229"/>
      <c r="G15" s="229"/>
      <c r="H15" s="229"/>
      <c r="I15" s="229"/>
      <c r="J15" s="229"/>
      <c r="K15" s="229"/>
      <c r="L15" s="229"/>
      <c r="M15" s="229"/>
      <c r="N15" s="232"/>
    </row>
    <row r="16" hidden="1" spans="1:14">
      <c r="A16" s="37"/>
      <c r="B16" s="230" t="s">
        <v>1034</v>
      </c>
      <c r="C16" s="229">
        <v>2.028</v>
      </c>
      <c r="D16" s="229">
        <v>2.028</v>
      </c>
      <c r="E16" s="229">
        <v>2.028</v>
      </c>
      <c r="F16" s="229"/>
      <c r="G16" s="229"/>
      <c r="H16" s="229"/>
      <c r="I16" s="229"/>
      <c r="J16" s="229"/>
      <c r="K16" s="229"/>
      <c r="L16" s="229"/>
      <c r="M16" s="229"/>
      <c r="N16" s="232"/>
    </row>
    <row r="17" hidden="1" spans="1:14">
      <c r="A17" s="37"/>
      <c r="B17" s="230" t="s">
        <v>1035</v>
      </c>
      <c r="C17" s="229">
        <v>3.08</v>
      </c>
      <c r="D17" s="229">
        <v>3.08</v>
      </c>
      <c r="E17" s="229">
        <v>3.08</v>
      </c>
      <c r="F17" s="229"/>
      <c r="G17" s="229"/>
      <c r="H17" s="229"/>
      <c r="I17" s="229"/>
      <c r="J17" s="229"/>
      <c r="K17" s="229"/>
      <c r="L17" s="229"/>
      <c r="M17" s="229"/>
      <c r="N17" s="232"/>
    </row>
    <row r="18" hidden="1" spans="1:14">
      <c r="A18" s="37"/>
      <c r="B18" s="230" t="s">
        <v>1036</v>
      </c>
      <c r="C18" s="229">
        <v>98.824116</v>
      </c>
      <c r="D18" s="229">
        <v>98.824116</v>
      </c>
      <c r="E18" s="229">
        <v>98.824116</v>
      </c>
      <c r="F18" s="229"/>
      <c r="G18" s="229"/>
      <c r="H18" s="229"/>
      <c r="I18" s="229"/>
      <c r="J18" s="229"/>
      <c r="K18" s="229"/>
      <c r="L18" s="229"/>
      <c r="M18" s="229"/>
      <c r="N18" s="232"/>
    </row>
    <row r="19" hidden="1" spans="1:14">
      <c r="A19" s="37"/>
      <c r="B19" s="230" t="s">
        <v>1037</v>
      </c>
      <c r="C19" s="229">
        <v>2.775996</v>
      </c>
      <c r="D19" s="229">
        <v>2.775996</v>
      </c>
      <c r="E19" s="229">
        <v>2.775996</v>
      </c>
      <c r="F19" s="229"/>
      <c r="G19" s="229"/>
      <c r="H19" s="229"/>
      <c r="I19" s="229"/>
      <c r="J19" s="229"/>
      <c r="K19" s="229"/>
      <c r="L19" s="229"/>
      <c r="M19" s="229"/>
      <c r="N19" s="232"/>
    </row>
    <row r="20" hidden="1" spans="1:14">
      <c r="A20" s="37"/>
      <c r="B20" s="230" t="s">
        <v>1038</v>
      </c>
      <c r="C20" s="229">
        <v>0.76</v>
      </c>
      <c r="D20" s="229">
        <v>0.76</v>
      </c>
      <c r="E20" s="229">
        <v>0.76</v>
      </c>
      <c r="F20" s="229"/>
      <c r="G20" s="229"/>
      <c r="H20" s="229"/>
      <c r="I20" s="229"/>
      <c r="J20" s="229"/>
      <c r="K20" s="229"/>
      <c r="L20" s="229"/>
      <c r="M20" s="229"/>
      <c r="N20" s="232"/>
    </row>
    <row r="21" hidden="1" spans="1:14">
      <c r="A21" s="37"/>
      <c r="B21" s="230" t="s">
        <v>1039</v>
      </c>
      <c r="C21" s="229">
        <v>16.470686</v>
      </c>
      <c r="D21" s="229">
        <v>16.470686</v>
      </c>
      <c r="E21" s="229">
        <v>16.470686</v>
      </c>
      <c r="F21" s="229"/>
      <c r="G21" s="229"/>
      <c r="H21" s="229"/>
      <c r="I21" s="229"/>
      <c r="J21" s="229"/>
      <c r="K21" s="229"/>
      <c r="L21" s="229"/>
      <c r="M21" s="229"/>
      <c r="N21" s="232"/>
    </row>
    <row r="22" spans="1:14">
      <c r="A22" s="391" t="s">
        <v>582</v>
      </c>
      <c r="B22" s="231" t="s">
        <v>1040</v>
      </c>
      <c r="C22" s="229">
        <v>240.965111</v>
      </c>
      <c r="D22" s="229">
        <v>240.965111</v>
      </c>
      <c r="E22" s="229">
        <v>240.965111</v>
      </c>
      <c r="F22" s="229"/>
      <c r="G22" s="229"/>
      <c r="H22" s="229"/>
      <c r="I22" s="229"/>
      <c r="J22" s="229"/>
      <c r="K22" s="229"/>
      <c r="L22" s="229"/>
      <c r="M22" s="229"/>
      <c r="N22" s="233" t="s">
        <v>578</v>
      </c>
    </row>
    <row r="23" hidden="1" spans="1:14">
      <c r="A23" s="37"/>
      <c r="B23" s="230" t="s">
        <v>1027</v>
      </c>
      <c r="C23" s="229">
        <v>2</v>
      </c>
      <c r="D23" s="229">
        <v>2</v>
      </c>
      <c r="E23" s="229">
        <v>2</v>
      </c>
      <c r="F23" s="229"/>
      <c r="G23" s="229"/>
      <c r="H23" s="229"/>
      <c r="I23" s="229"/>
      <c r="J23" s="229"/>
      <c r="K23" s="229"/>
      <c r="L23" s="229"/>
      <c r="M23" s="229"/>
      <c r="N23" s="232"/>
    </row>
    <row r="24" hidden="1" spans="1:14">
      <c r="A24" s="37"/>
      <c r="B24" s="230" t="s">
        <v>1029</v>
      </c>
      <c r="C24" s="229">
        <v>15.86</v>
      </c>
      <c r="D24" s="229">
        <v>15.86</v>
      </c>
      <c r="E24" s="229">
        <v>15.86</v>
      </c>
      <c r="F24" s="229"/>
      <c r="G24" s="229"/>
      <c r="H24" s="229"/>
      <c r="I24" s="229"/>
      <c r="J24" s="229"/>
      <c r="K24" s="229"/>
      <c r="L24" s="229"/>
      <c r="M24" s="229"/>
      <c r="N24" s="232"/>
    </row>
    <row r="25" hidden="1" spans="1:14">
      <c r="A25" s="37"/>
      <c r="B25" s="230" t="s">
        <v>1031</v>
      </c>
      <c r="C25" s="229">
        <v>4.08</v>
      </c>
      <c r="D25" s="229">
        <v>4.08</v>
      </c>
      <c r="E25" s="229">
        <v>4.08</v>
      </c>
      <c r="F25" s="229"/>
      <c r="G25" s="229"/>
      <c r="H25" s="229"/>
      <c r="I25" s="229"/>
      <c r="J25" s="229"/>
      <c r="K25" s="229"/>
      <c r="L25" s="229"/>
      <c r="M25" s="229"/>
      <c r="N25" s="232"/>
    </row>
    <row r="26" hidden="1" spans="1:14">
      <c r="A26" s="37"/>
      <c r="B26" s="230" t="s">
        <v>1036</v>
      </c>
      <c r="C26" s="229">
        <v>18.29112</v>
      </c>
      <c r="D26" s="229">
        <v>18.29112</v>
      </c>
      <c r="E26" s="229">
        <v>18.29112</v>
      </c>
      <c r="F26" s="229"/>
      <c r="G26" s="229"/>
      <c r="H26" s="229"/>
      <c r="I26" s="229"/>
      <c r="J26" s="229"/>
      <c r="K26" s="229"/>
      <c r="L26" s="229"/>
      <c r="M26" s="229"/>
      <c r="N26" s="232"/>
    </row>
    <row r="27" hidden="1" spans="1:14">
      <c r="A27" s="37"/>
      <c r="B27" s="230" t="s">
        <v>1039</v>
      </c>
      <c r="C27" s="229">
        <v>3.04852</v>
      </c>
      <c r="D27" s="229">
        <v>3.04852</v>
      </c>
      <c r="E27" s="229">
        <v>3.04852</v>
      </c>
      <c r="F27" s="229"/>
      <c r="G27" s="229"/>
      <c r="H27" s="229"/>
      <c r="I27" s="229"/>
      <c r="J27" s="229"/>
      <c r="K27" s="229"/>
      <c r="L27" s="229"/>
      <c r="M27" s="229"/>
      <c r="N27" s="232"/>
    </row>
    <row r="28" hidden="1" spans="1:14">
      <c r="A28" s="37"/>
      <c r="B28" s="230" t="s">
        <v>1028</v>
      </c>
      <c r="C28" s="229">
        <v>3.23748</v>
      </c>
      <c r="D28" s="229">
        <v>3.23748</v>
      </c>
      <c r="E28" s="229">
        <v>3.23748</v>
      </c>
      <c r="F28" s="229"/>
      <c r="G28" s="229"/>
      <c r="H28" s="229"/>
      <c r="I28" s="229"/>
      <c r="J28" s="229"/>
      <c r="K28" s="229"/>
      <c r="L28" s="229"/>
      <c r="M28" s="229"/>
      <c r="N28" s="232"/>
    </row>
    <row r="29" hidden="1" spans="1:14">
      <c r="A29" s="37"/>
      <c r="B29" s="230" t="s">
        <v>1032</v>
      </c>
      <c r="C29" s="229">
        <v>152.426</v>
      </c>
      <c r="D29" s="229">
        <v>152.426</v>
      </c>
      <c r="E29" s="229">
        <v>152.426</v>
      </c>
      <c r="F29" s="229"/>
      <c r="G29" s="229"/>
      <c r="H29" s="229"/>
      <c r="I29" s="229"/>
      <c r="J29" s="229"/>
      <c r="K29" s="229"/>
      <c r="L29" s="229"/>
      <c r="M29" s="229"/>
      <c r="N29" s="232"/>
    </row>
    <row r="30" hidden="1" spans="1:14">
      <c r="A30" s="37"/>
      <c r="B30" s="230" t="s">
        <v>1033</v>
      </c>
      <c r="C30" s="229">
        <v>41.841054</v>
      </c>
      <c r="D30" s="229">
        <v>41.841054</v>
      </c>
      <c r="E30" s="229">
        <v>41.841054</v>
      </c>
      <c r="F30" s="229"/>
      <c r="G30" s="229"/>
      <c r="H30" s="229"/>
      <c r="I30" s="229"/>
      <c r="J30" s="229"/>
      <c r="K30" s="229"/>
      <c r="L30" s="229"/>
      <c r="M30" s="229"/>
      <c r="N30" s="232"/>
    </row>
    <row r="31" hidden="1" spans="1:14">
      <c r="A31" s="37"/>
      <c r="B31" s="230" t="s">
        <v>1035</v>
      </c>
      <c r="C31" s="229">
        <v>0.1</v>
      </c>
      <c r="D31" s="229">
        <v>0.1</v>
      </c>
      <c r="E31" s="229">
        <v>0.1</v>
      </c>
      <c r="F31" s="229"/>
      <c r="G31" s="229"/>
      <c r="H31" s="229"/>
      <c r="I31" s="229"/>
      <c r="J31" s="229"/>
      <c r="K31" s="229"/>
      <c r="L31" s="229"/>
      <c r="M31" s="229"/>
      <c r="N31" s="232"/>
    </row>
    <row r="32" hidden="1" spans="1:14">
      <c r="A32" s="37"/>
      <c r="B32" s="230" t="s">
        <v>1037</v>
      </c>
      <c r="C32" s="229">
        <v>0.080937</v>
      </c>
      <c r="D32" s="229">
        <v>0.080937</v>
      </c>
      <c r="E32" s="229">
        <v>0.080937</v>
      </c>
      <c r="F32" s="229"/>
      <c r="G32" s="229"/>
      <c r="H32" s="229"/>
      <c r="I32" s="229"/>
      <c r="J32" s="229"/>
      <c r="K32" s="229"/>
      <c r="L32" s="229"/>
      <c r="M32" s="229"/>
      <c r="N32" s="232"/>
    </row>
    <row r="33" spans="1:14">
      <c r="A33" s="391" t="s">
        <v>584</v>
      </c>
      <c r="B33" s="231" t="s">
        <v>585</v>
      </c>
      <c r="C33" s="229">
        <v>432.0495</v>
      </c>
      <c r="D33" s="229">
        <v>432.0495</v>
      </c>
      <c r="E33" s="229">
        <v>432.0495</v>
      </c>
      <c r="F33" s="229"/>
      <c r="G33" s="229"/>
      <c r="H33" s="229"/>
      <c r="I33" s="229"/>
      <c r="J33" s="229"/>
      <c r="K33" s="229"/>
      <c r="L33" s="229"/>
      <c r="M33" s="229"/>
      <c r="N33" s="233" t="s">
        <v>578</v>
      </c>
    </row>
    <row r="34" hidden="1" spans="1:14">
      <c r="A34" s="37"/>
      <c r="B34" s="230" t="s">
        <v>1035</v>
      </c>
      <c r="C34" s="229">
        <v>0.4</v>
      </c>
      <c r="D34" s="229">
        <v>0.4</v>
      </c>
      <c r="E34" s="229">
        <v>0.4</v>
      </c>
      <c r="F34" s="229"/>
      <c r="G34" s="229"/>
      <c r="H34" s="229"/>
      <c r="I34" s="229"/>
      <c r="J34" s="229"/>
      <c r="K34" s="229"/>
      <c r="L34" s="229"/>
      <c r="M34" s="229"/>
      <c r="N34" s="232"/>
    </row>
    <row r="35" hidden="1" spans="1:14">
      <c r="A35" s="37"/>
      <c r="B35" s="230" t="s">
        <v>1034</v>
      </c>
      <c r="C35" s="229">
        <v>1.014</v>
      </c>
      <c r="D35" s="229">
        <v>1.014</v>
      </c>
      <c r="E35" s="229">
        <v>1.014</v>
      </c>
      <c r="F35" s="229"/>
      <c r="G35" s="229"/>
      <c r="H35" s="229"/>
      <c r="I35" s="229"/>
      <c r="J35" s="229"/>
      <c r="K35" s="229"/>
      <c r="L35" s="229"/>
      <c r="M35" s="229"/>
      <c r="N35" s="232"/>
    </row>
    <row r="36" hidden="1" spans="1:14">
      <c r="A36" s="37"/>
      <c r="B36" s="230" t="s">
        <v>1037</v>
      </c>
      <c r="C36" s="229">
        <v>0.30702</v>
      </c>
      <c r="D36" s="229">
        <v>0.30702</v>
      </c>
      <c r="E36" s="229">
        <v>0.30702</v>
      </c>
      <c r="F36" s="229"/>
      <c r="G36" s="229"/>
      <c r="H36" s="229"/>
      <c r="I36" s="229"/>
      <c r="J36" s="229"/>
      <c r="K36" s="229"/>
      <c r="L36" s="229"/>
      <c r="M36" s="229"/>
      <c r="N36" s="232"/>
    </row>
    <row r="37" hidden="1" spans="1:14">
      <c r="A37" s="37"/>
      <c r="B37" s="230" t="s">
        <v>1031</v>
      </c>
      <c r="C37" s="229">
        <v>7.728</v>
      </c>
      <c r="D37" s="229">
        <v>7.728</v>
      </c>
      <c r="E37" s="229">
        <v>7.728</v>
      </c>
      <c r="F37" s="229"/>
      <c r="G37" s="229"/>
      <c r="H37" s="229"/>
      <c r="I37" s="229"/>
      <c r="J37" s="229"/>
      <c r="K37" s="229"/>
      <c r="L37" s="229"/>
      <c r="M37" s="229"/>
      <c r="N37" s="232"/>
    </row>
    <row r="38" hidden="1" spans="1:14">
      <c r="A38" s="37"/>
      <c r="B38" s="230" t="s">
        <v>1039</v>
      </c>
      <c r="C38" s="229">
        <v>5.401282</v>
      </c>
      <c r="D38" s="229">
        <v>5.401282</v>
      </c>
      <c r="E38" s="229">
        <v>5.401282</v>
      </c>
      <c r="F38" s="229"/>
      <c r="G38" s="229"/>
      <c r="H38" s="229"/>
      <c r="I38" s="229"/>
      <c r="J38" s="229"/>
      <c r="K38" s="229"/>
      <c r="L38" s="229"/>
      <c r="M38" s="229"/>
      <c r="N38" s="232"/>
    </row>
    <row r="39" hidden="1" spans="1:14">
      <c r="A39" s="37"/>
      <c r="B39" s="230" t="s">
        <v>1036</v>
      </c>
      <c r="C39" s="229">
        <v>32.407692</v>
      </c>
      <c r="D39" s="229">
        <v>32.407692</v>
      </c>
      <c r="E39" s="229">
        <v>32.407692</v>
      </c>
      <c r="F39" s="229"/>
      <c r="G39" s="229"/>
      <c r="H39" s="229"/>
      <c r="I39" s="229"/>
      <c r="J39" s="229"/>
      <c r="K39" s="229"/>
      <c r="L39" s="229"/>
      <c r="M39" s="229"/>
      <c r="N39" s="232"/>
    </row>
    <row r="40" hidden="1" spans="1:14">
      <c r="A40" s="37"/>
      <c r="B40" s="230" t="s">
        <v>1029</v>
      </c>
      <c r="C40" s="229">
        <v>26.741</v>
      </c>
      <c r="D40" s="229">
        <v>26.741</v>
      </c>
      <c r="E40" s="229">
        <v>26.741</v>
      </c>
      <c r="F40" s="229"/>
      <c r="G40" s="229"/>
      <c r="H40" s="229"/>
      <c r="I40" s="229"/>
      <c r="J40" s="229"/>
      <c r="K40" s="229"/>
      <c r="L40" s="229"/>
      <c r="M40" s="229"/>
      <c r="N40" s="232"/>
    </row>
    <row r="41" hidden="1" spans="1:14">
      <c r="A41" s="37"/>
      <c r="B41" s="230" t="s">
        <v>1027</v>
      </c>
      <c r="C41" s="229">
        <v>2</v>
      </c>
      <c r="D41" s="229">
        <v>2</v>
      </c>
      <c r="E41" s="229">
        <v>2</v>
      </c>
      <c r="F41" s="229"/>
      <c r="G41" s="229"/>
      <c r="H41" s="229"/>
      <c r="I41" s="229"/>
      <c r="J41" s="229"/>
      <c r="K41" s="229"/>
      <c r="L41" s="229"/>
      <c r="M41" s="229"/>
      <c r="N41" s="232"/>
    </row>
    <row r="42" hidden="1" spans="1:14">
      <c r="A42" s="37"/>
      <c r="B42" s="230" t="s">
        <v>1032</v>
      </c>
      <c r="C42" s="229">
        <v>270.0641</v>
      </c>
      <c r="D42" s="229">
        <v>270.0641</v>
      </c>
      <c r="E42" s="229">
        <v>270.0641</v>
      </c>
      <c r="F42" s="229"/>
      <c r="G42" s="229"/>
      <c r="H42" s="229"/>
      <c r="I42" s="229"/>
      <c r="J42" s="229"/>
      <c r="K42" s="229"/>
      <c r="L42" s="229"/>
      <c r="M42" s="229"/>
      <c r="N42" s="232"/>
    </row>
    <row r="43" hidden="1" spans="1:14">
      <c r="A43" s="37"/>
      <c r="B43" s="230" t="s">
        <v>1033</v>
      </c>
      <c r="C43" s="229">
        <v>73.705606</v>
      </c>
      <c r="D43" s="229">
        <v>73.705606</v>
      </c>
      <c r="E43" s="229">
        <v>73.705606</v>
      </c>
      <c r="F43" s="229"/>
      <c r="G43" s="229"/>
      <c r="H43" s="229"/>
      <c r="I43" s="229"/>
      <c r="J43" s="229"/>
      <c r="K43" s="229"/>
      <c r="L43" s="229"/>
      <c r="M43" s="229"/>
      <c r="N43" s="232"/>
    </row>
    <row r="44" hidden="1" spans="1:14">
      <c r="A44" s="37"/>
      <c r="B44" s="230" t="s">
        <v>1028</v>
      </c>
      <c r="C44" s="229">
        <v>12.2808</v>
      </c>
      <c r="D44" s="229">
        <v>12.2808</v>
      </c>
      <c r="E44" s="229">
        <v>12.2808</v>
      </c>
      <c r="F44" s="229"/>
      <c r="G44" s="229"/>
      <c r="H44" s="229"/>
      <c r="I44" s="229"/>
      <c r="J44" s="229"/>
      <c r="K44" s="229"/>
      <c r="L44" s="229"/>
      <c r="M44" s="229"/>
      <c r="N44" s="232"/>
    </row>
    <row r="45" spans="1:14">
      <c r="A45" s="391" t="s">
        <v>586</v>
      </c>
      <c r="B45" s="231" t="s">
        <v>587</v>
      </c>
      <c r="C45" s="229">
        <v>1253.260348</v>
      </c>
      <c r="D45" s="229">
        <v>1253.260348</v>
      </c>
      <c r="E45" s="229">
        <v>1253.260348</v>
      </c>
      <c r="F45" s="229"/>
      <c r="G45" s="229"/>
      <c r="H45" s="229"/>
      <c r="I45" s="229"/>
      <c r="J45" s="229"/>
      <c r="K45" s="229"/>
      <c r="L45" s="229"/>
      <c r="M45" s="229"/>
      <c r="N45" s="233" t="s">
        <v>578</v>
      </c>
    </row>
    <row r="46" hidden="1" spans="1:14">
      <c r="A46" s="37"/>
      <c r="B46" s="230" t="s">
        <v>1032</v>
      </c>
      <c r="C46" s="229">
        <v>745.951408</v>
      </c>
      <c r="D46" s="229">
        <v>745.951408</v>
      </c>
      <c r="E46" s="229">
        <v>745.951408</v>
      </c>
      <c r="F46" s="229"/>
      <c r="G46" s="229"/>
      <c r="H46" s="229"/>
      <c r="I46" s="229"/>
      <c r="J46" s="229"/>
      <c r="K46" s="229"/>
      <c r="L46" s="229"/>
      <c r="M46" s="229"/>
      <c r="N46" s="232"/>
    </row>
    <row r="47" hidden="1" spans="1:14">
      <c r="A47" s="37"/>
      <c r="B47" s="230" t="s">
        <v>1037</v>
      </c>
      <c r="C47" s="229">
        <v>1.809131</v>
      </c>
      <c r="D47" s="229">
        <v>1.809131</v>
      </c>
      <c r="E47" s="229">
        <v>1.809131</v>
      </c>
      <c r="F47" s="229"/>
      <c r="G47" s="229"/>
      <c r="H47" s="229"/>
      <c r="I47" s="229"/>
      <c r="J47" s="229"/>
      <c r="K47" s="229"/>
      <c r="L47" s="229"/>
      <c r="M47" s="229"/>
      <c r="N47" s="232"/>
    </row>
    <row r="48" hidden="1" spans="1:14">
      <c r="A48" s="37"/>
      <c r="B48" s="230" t="s">
        <v>1036</v>
      </c>
      <c r="C48" s="229">
        <v>89.514169</v>
      </c>
      <c r="D48" s="229">
        <v>89.514169</v>
      </c>
      <c r="E48" s="229">
        <v>89.514169</v>
      </c>
      <c r="F48" s="229"/>
      <c r="G48" s="229"/>
      <c r="H48" s="229"/>
      <c r="I48" s="229"/>
      <c r="J48" s="229"/>
      <c r="K48" s="229"/>
      <c r="L48" s="229"/>
      <c r="M48" s="229"/>
      <c r="N48" s="232"/>
    </row>
    <row r="49" hidden="1" spans="1:14">
      <c r="A49" s="37"/>
      <c r="B49" s="230" t="s">
        <v>1030</v>
      </c>
      <c r="C49" s="229">
        <v>4</v>
      </c>
      <c r="D49" s="229">
        <v>4</v>
      </c>
      <c r="E49" s="229">
        <v>4</v>
      </c>
      <c r="F49" s="229"/>
      <c r="G49" s="229"/>
      <c r="H49" s="229"/>
      <c r="I49" s="229"/>
      <c r="J49" s="229"/>
      <c r="K49" s="229"/>
      <c r="L49" s="229"/>
      <c r="M49" s="229"/>
      <c r="N49" s="232"/>
    </row>
    <row r="50" hidden="1" spans="1:14">
      <c r="A50" s="37"/>
      <c r="B50" s="230" t="s">
        <v>1033</v>
      </c>
      <c r="C50" s="229">
        <v>211.03738</v>
      </c>
      <c r="D50" s="229">
        <v>211.03738</v>
      </c>
      <c r="E50" s="229">
        <v>211.03738</v>
      </c>
      <c r="F50" s="229"/>
      <c r="G50" s="229"/>
      <c r="H50" s="229"/>
      <c r="I50" s="229"/>
      <c r="J50" s="229"/>
      <c r="K50" s="229"/>
      <c r="L50" s="229"/>
      <c r="M50" s="229"/>
      <c r="N50" s="232"/>
    </row>
    <row r="51" hidden="1" spans="1:14">
      <c r="A51" s="37"/>
      <c r="B51" s="230" t="s">
        <v>1028</v>
      </c>
      <c r="C51" s="229">
        <v>72.365232</v>
      </c>
      <c r="D51" s="229">
        <v>72.365232</v>
      </c>
      <c r="E51" s="229">
        <v>72.365232</v>
      </c>
      <c r="F51" s="229"/>
      <c r="G51" s="229"/>
      <c r="H51" s="229"/>
      <c r="I51" s="229"/>
      <c r="J51" s="229"/>
      <c r="K51" s="229"/>
      <c r="L51" s="229"/>
      <c r="M51" s="229"/>
      <c r="N51" s="232"/>
    </row>
    <row r="52" hidden="1" spans="1:14">
      <c r="A52" s="37"/>
      <c r="B52" s="230" t="s">
        <v>1031</v>
      </c>
      <c r="C52" s="229">
        <v>27.696</v>
      </c>
      <c r="D52" s="229">
        <v>27.696</v>
      </c>
      <c r="E52" s="229">
        <v>27.696</v>
      </c>
      <c r="F52" s="229"/>
      <c r="G52" s="229"/>
      <c r="H52" s="229"/>
      <c r="I52" s="229"/>
      <c r="J52" s="229"/>
      <c r="K52" s="229"/>
      <c r="L52" s="229"/>
      <c r="M52" s="229"/>
      <c r="N52" s="232"/>
    </row>
    <row r="53" hidden="1" spans="1:14">
      <c r="A53" s="37"/>
      <c r="B53" s="230" t="s">
        <v>1027</v>
      </c>
      <c r="C53" s="229">
        <v>6</v>
      </c>
      <c r="D53" s="229">
        <v>6</v>
      </c>
      <c r="E53" s="229">
        <v>6</v>
      </c>
      <c r="F53" s="229"/>
      <c r="G53" s="229"/>
      <c r="H53" s="229"/>
      <c r="I53" s="229"/>
      <c r="J53" s="229"/>
      <c r="K53" s="229"/>
      <c r="L53" s="229"/>
      <c r="M53" s="229"/>
      <c r="N53" s="232"/>
    </row>
    <row r="54" hidden="1" spans="1:14">
      <c r="A54" s="37"/>
      <c r="B54" s="230" t="s">
        <v>1035</v>
      </c>
      <c r="C54" s="229">
        <v>2.3</v>
      </c>
      <c r="D54" s="229">
        <v>2.3</v>
      </c>
      <c r="E54" s="229">
        <v>2.3</v>
      </c>
      <c r="F54" s="229"/>
      <c r="G54" s="229"/>
      <c r="H54" s="229"/>
      <c r="I54" s="229"/>
      <c r="J54" s="229"/>
      <c r="K54" s="229"/>
      <c r="L54" s="229"/>
      <c r="M54" s="229"/>
      <c r="N54" s="232"/>
    </row>
    <row r="55" hidden="1" spans="1:14">
      <c r="A55" s="37"/>
      <c r="B55" s="230" t="s">
        <v>1039</v>
      </c>
      <c r="C55" s="229">
        <v>14.919028</v>
      </c>
      <c r="D55" s="229">
        <v>14.919028</v>
      </c>
      <c r="E55" s="229">
        <v>14.919028</v>
      </c>
      <c r="F55" s="229"/>
      <c r="G55" s="229"/>
      <c r="H55" s="229"/>
      <c r="I55" s="229"/>
      <c r="J55" s="229"/>
      <c r="K55" s="229"/>
      <c r="L55" s="229"/>
      <c r="M55" s="229"/>
      <c r="N55" s="232"/>
    </row>
    <row r="56" hidden="1" spans="1:14">
      <c r="A56" s="37"/>
      <c r="B56" s="230" t="s">
        <v>1034</v>
      </c>
      <c r="C56" s="229">
        <v>2.028</v>
      </c>
      <c r="D56" s="229">
        <v>2.028</v>
      </c>
      <c r="E56" s="229">
        <v>2.028</v>
      </c>
      <c r="F56" s="229"/>
      <c r="G56" s="229"/>
      <c r="H56" s="229"/>
      <c r="I56" s="229"/>
      <c r="J56" s="229"/>
      <c r="K56" s="229"/>
      <c r="L56" s="229"/>
      <c r="M56" s="229"/>
      <c r="N56" s="232"/>
    </row>
    <row r="57" hidden="1" spans="1:14">
      <c r="A57" s="37"/>
      <c r="B57" s="230" t="s">
        <v>1029</v>
      </c>
      <c r="C57" s="229">
        <v>75.64</v>
      </c>
      <c r="D57" s="229">
        <v>75.64</v>
      </c>
      <c r="E57" s="229">
        <v>75.64</v>
      </c>
      <c r="F57" s="229"/>
      <c r="G57" s="229"/>
      <c r="H57" s="229"/>
      <c r="I57" s="229"/>
      <c r="J57" s="229"/>
      <c r="K57" s="229"/>
      <c r="L57" s="229"/>
      <c r="M57" s="229"/>
      <c r="N57" s="232"/>
    </row>
    <row r="58" spans="1:14">
      <c r="A58" s="391" t="s">
        <v>590</v>
      </c>
      <c r="B58" s="231" t="s">
        <v>1041</v>
      </c>
      <c r="C58" s="229">
        <v>787.467476</v>
      </c>
      <c r="D58" s="229">
        <v>787.467476</v>
      </c>
      <c r="E58" s="229">
        <v>787.467476</v>
      </c>
      <c r="F58" s="229"/>
      <c r="G58" s="229"/>
      <c r="H58" s="229"/>
      <c r="I58" s="229"/>
      <c r="J58" s="229"/>
      <c r="K58" s="229"/>
      <c r="L58" s="229"/>
      <c r="M58" s="229"/>
      <c r="N58" s="233" t="s">
        <v>578</v>
      </c>
    </row>
    <row r="59" hidden="1" spans="1:14">
      <c r="A59" s="37"/>
      <c r="B59" s="230" t="s">
        <v>1033</v>
      </c>
      <c r="C59" s="229">
        <v>132.673014</v>
      </c>
      <c r="D59" s="229">
        <v>132.673014</v>
      </c>
      <c r="E59" s="229">
        <v>132.673014</v>
      </c>
      <c r="F59" s="229"/>
      <c r="G59" s="229"/>
      <c r="H59" s="229"/>
      <c r="I59" s="229"/>
      <c r="J59" s="229"/>
      <c r="K59" s="229"/>
      <c r="L59" s="229"/>
      <c r="M59" s="229"/>
      <c r="N59" s="232"/>
    </row>
    <row r="60" hidden="1" spans="1:14">
      <c r="A60" s="37"/>
      <c r="B60" s="230" t="s">
        <v>1027</v>
      </c>
      <c r="C60" s="229">
        <v>6</v>
      </c>
      <c r="D60" s="229">
        <v>6</v>
      </c>
      <c r="E60" s="229">
        <v>6</v>
      </c>
      <c r="F60" s="229"/>
      <c r="G60" s="229"/>
      <c r="H60" s="229"/>
      <c r="I60" s="229"/>
      <c r="J60" s="229"/>
      <c r="K60" s="229"/>
      <c r="L60" s="229"/>
      <c r="M60" s="229"/>
      <c r="N60" s="232"/>
    </row>
    <row r="61" hidden="1" spans="1:14">
      <c r="A61" s="37"/>
      <c r="B61" s="230" t="s">
        <v>1028</v>
      </c>
      <c r="C61" s="229">
        <v>40.989132</v>
      </c>
      <c r="D61" s="229">
        <v>40.989132</v>
      </c>
      <c r="E61" s="229">
        <v>40.989132</v>
      </c>
      <c r="F61" s="229"/>
      <c r="G61" s="229"/>
      <c r="H61" s="229"/>
      <c r="I61" s="229"/>
      <c r="J61" s="229"/>
      <c r="K61" s="229"/>
      <c r="L61" s="229"/>
      <c r="M61" s="229"/>
      <c r="N61" s="232"/>
    </row>
    <row r="62" hidden="1" spans="1:14">
      <c r="A62" s="37"/>
      <c r="B62" s="230" t="s">
        <v>1029</v>
      </c>
      <c r="C62" s="229">
        <v>44.774</v>
      </c>
      <c r="D62" s="229">
        <v>44.774</v>
      </c>
      <c r="E62" s="229">
        <v>44.774</v>
      </c>
      <c r="F62" s="229"/>
      <c r="G62" s="229"/>
      <c r="H62" s="229"/>
      <c r="I62" s="229"/>
      <c r="J62" s="229"/>
      <c r="K62" s="229"/>
      <c r="L62" s="229"/>
      <c r="M62" s="229"/>
      <c r="N62" s="232"/>
    </row>
    <row r="63" hidden="1" spans="1:14">
      <c r="A63" s="37"/>
      <c r="B63" s="230" t="s">
        <v>1031</v>
      </c>
      <c r="C63" s="229">
        <v>8.1</v>
      </c>
      <c r="D63" s="229">
        <v>8.1</v>
      </c>
      <c r="E63" s="229">
        <v>8.1</v>
      </c>
      <c r="F63" s="229"/>
      <c r="G63" s="229"/>
      <c r="H63" s="229"/>
      <c r="I63" s="229"/>
      <c r="J63" s="229"/>
      <c r="K63" s="229"/>
      <c r="L63" s="229"/>
      <c r="M63" s="229"/>
      <c r="N63" s="232"/>
    </row>
    <row r="64" hidden="1" spans="1:14">
      <c r="A64" s="37"/>
      <c r="B64" s="230" t="s">
        <v>1036</v>
      </c>
      <c r="C64" s="229">
        <v>57.769116</v>
      </c>
      <c r="D64" s="229">
        <v>57.769116</v>
      </c>
      <c r="E64" s="229">
        <v>57.769116</v>
      </c>
      <c r="F64" s="229"/>
      <c r="G64" s="229"/>
      <c r="H64" s="229"/>
      <c r="I64" s="229"/>
      <c r="J64" s="229"/>
      <c r="K64" s="229"/>
      <c r="L64" s="229"/>
      <c r="M64" s="229"/>
      <c r="N64" s="232"/>
    </row>
    <row r="65" hidden="1" spans="1:14">
      <c r="A65" s="37"/>
      <c r="B65" s="230" t="s">
        <v>1032</v>
      </c>
      <c r="C65" s="229">
        <v>481.4093</v>
      </c>
      <c r="D65" s="229">
        <v>481.4093</v>
      </c>
      <c r="E65" s="229">
        <v>481.4093</v>
      </c>
      <c r="F65" s="229"/>
      <c r="G65" s="229"/>
      <c r="H65" s="229"/>
      <c r="I65" s="229"/>
      <c r="J65" s="229"/>
      <c r="K65" s="229"/>
      <c r="L65" s="229"/>
      <c r="M65" s="229"/>
      <c r="N65" s="232"/>
    </row>
    <row r="66" hidden="1" spans="1:14">
      <c r="A66" s="37"/>
      <c r="B66" s="230" t="s">
        <v>1030</v>
      </c>
      <c r="C66" s="229">
        <v>4</v>
      </c>
      <c r="D66" s="229">
        <v>4</v>
      </c>
      <c r="E66" s="229">
        <v>4</v>
      </c>
      <c r="F66" s="229"/>
      <c r="G66" s="229"/>
      <c r="H66" s="229"/>
      <c r="I66" s="229"/>
      <c r="J66" s="229"/>
      <c r="K66" s="229"/>
      <c r="L66" s="229"/>
      <c r="M66" s="229"/>
      <c r="N66" s="232"/>
    </row>
    <row r="67" hidden="1" spans="1:14">
      <c r="A67" s="37"/>
      <c r="B67" s="230" t="s">
        <v>1039</v>
      </c>
      <c r="C67" s="229">
        <v>9.628186</v>
      </c>
      <c r="D67" s="229">
        <v>9.628186</v>
      </c>
      <c r="E67" s="229">
        <v>9.628186</v>
      </c>
      <c r="F67" s="229"/>
      <c r="G67" s="229"/>
      <c r="H67" s="229"/>
      <c r="I67" s="229"/>
      <c r="J67" s="229"/>
      <c r="K67" s="229"/>
      <c r="L67" s="229"/>
      <c r="M67" s="229"/>
      <c r="N67" s="232"/>
    </row>
    <row r="68" hidden="1" spans="1:14">
      <c r="A68" s="37"/>
      <c r="B68" s="230" t="s">
        <v>1035</v>
      </c>
      <c r="C68" s="229">
        <v>1.1</v>
      </c>
      <c r="D68" s="229">
        <v>1.1</v>
      </c>
      <c r="E68" s="229">
        <v>1.1</v>
      </c>
      <c r="F68" s="229"/>
      <c r="G68" s="229"/>
      <c r="H68" s="229"/>
      <c r="I68" s="229"/>
      <c r="J68" s="229"/>
      <c r="K68" s="229"/>
      <c r="L68" s="229"/>
      <c r="M68" s="229"/>
      <c r="N68" s="232"/>
    </row>
    <row r="69" hidden="1" spans="1:14">
      <c r="A69" s="37"/>
      <c r="B69" s="230" t="s">
        <v>1037</v>
      </c>
      <c r="C69" s="229">
        <v>1.024728</v>
      </c>
      <c r="D69" s="229">
        <v>1.024728</v>
      </c>
      <c r="E69" s="229">
        <v>1.024728</v>
      </c>
      <c r="F69" s="229"/>
      <c r="G69" s="229"/>
      <c r="H69" s="229"/>
      <c r="I69" s="229"/>
      <c r="J69" s="229"/>
      <c r="K69" s="229"/>
      <c r="L69" s="229"/>
      <c r="M69" s="229"/>
      <c r="N69" s="232"/>
    </row>
    <row r="70" spans="1:14">
      <c r="A70" s="391" t="s">
        <v>592</v>
      </c>
      <c r="B70" s="231" t="s">
        <v>593</v>
      </c>
      <c r="C70" s="229">
        <v>285.908752</v>
      </c>
      <c r="D70" s="229">
        <v>285.908752</v>
      </c>
      <c r="E70" s="229">
        <v>285.908752</v>
      </c>
      <c r="F70" s="229"/>
      <c r="G70" s="229"/>
      <c r="H70" s="229"/>
      <c r="I70" s="229"/>
      <c r="J70" s="229"/>
      <c r="K70" s="229"/>
      <c r="L70" s="229"/>
      <c r="M70" s="229"/>
      <c r="N70" s="233" t="s">
        <v>578</v>
      </c>
    </row>
    <row r="71" hidden="1" spans="1:14">
      <c r="A71" s="37"/>
      <c r="B71" s="230" t="s">
        <v>1032</v>
      </c>
      <c r="C71" s="229">
        <v>155.1841</v>
      </c>
      <c r="D71" s="229">
        <v>155.1841</v>
      </c>
      <c r="E71" s="229">
        <v>155.1841</v>
      </c>
      <c r="F71" s="229"/>
      <c r="G71" s="229"/>
      <c r="H71" s="229"/>
      <c r="I71" s="229"/>
      <c r="J71" s="229"/>
      <c r="K71" s="229"/>
      <c r="L71" s="229"/>
      <c r="M71" s="229"/>
      <c r="N71" s="232"/>
    </row>
    <row r="72" hidden="1" spans="1:14">
      <c r="A72" s="37"/>
      <c r="B72" s="230" t="s">
        <v>1031</v>
      </c>
      <c r="C72" s="229">
        <v>6.3</v>
      </c>
      <c r="D72" s="229">
        <v>6.3</v>
      </c>
      <c r="E72" s="229">
        <v>6.3</v>
      </c>
      <c r="F72" s="229"/>
      <c r="G72" s="229"/>
      <c r="H72" s="229"/>
      <c r="I72" s="229"/>
      <c r="J72" s="229"/>
      <c r="K72" s="229"/>
      <c r="L72" s="229"/>
      <c r="M72" s="229"/>
      <c r="N72" s="232"/>
    </row>
    <row r="73" hidden="1" spans="1:14">
      <c r="A73" s="37"/>
      <c r="B73" s="230" t="s">
        <v>1038</v>
      </c>
      <c r="C73" s="229">
        <v>0.08</v>
      </c>
      <c r="D73" s="229">
        <v>0.08</v>
      </c>
      <c r="E73" s="229">
        <v>0.08</v>
      </c>
      <c r="F73" s="229"/>
      <c r="G73" s="229"/>
      <c r="H73" s="229"/>
      <c r="I73" s="229"/>
      <c r="J73" s="229"/>
      <c r="K73" s="229"/>
      <c r="L73" s="229"/>
      <c r="M73" s="229"/>
      <c r="N73" s="232"/>
    </row>
    <row r="74" hidden="1" spans="1:14">
      <c r="A74" s="37"/>
      <c r="B74" s="230" t="s">
        <v>1027</v>
      </c>
      <c r="C74" s="229">
        <v>2</v>
      </c>
      <c r="D74" s="229">
        <v>2</v>
      </c>
      <c r="E74" s="229">
        <v>2</v>
      </c>
      <c r="F74" s="229"/>
      <c r="G74" s="229"/>
      <c r="H74" s="229"/>
      <c r="I74" s="229"/>
      <c r="J74" s="229"/>
      <c r="K74" s="229"/>
      <c r="L74" s="229"/>
      <c r="M74" s="229"/>
      <c r="N74" s="232"/>
    </row>
    <row r="75" hidden="1" spans="1:14">
      <c r="A75" s="37"/>
      <c r="B75" s="230" t="s">
        <v>1035</v>
      </c>
      <c r="C75" s="229">
        <v>0.96</v>
      </c>
      <c r="D75" s="229">
        <v>0.96</v>
      </c>
      <c r="E75" s="229">
        <v>0.96</v>
      </c>
      <c r="F75" s="229"/>
      <c r="G75" s="229"/>
      <c r="H75" s="229"/>
      <c r="I75" s="229"/>
      <c r="J75" s="229"/>
      <c r="K75" s="229"/>
      <c r="L75" s="229"/>
      <c r="M75" s="229"/>
      <c r="N75" s="232"/>
    </row>
    <row r="76" hidden="1" spans="1:14">
      <c r="A76" s="37"/>
      <c r="B76" s="230" t="s">
        <v>1039</v>
      </c>
      <c r="C76" s="229">
        <v>3.103682</v>
      </c>
      <c r="D76" s="229">
        <v>3.103682</v>
      </c>
      <c r="E76" s="229">
        <v>3.103682</v>
      </c>
      <c r="F76" s="229"/>
      <c r="G76" s="229"/>
      <c r="H76" s="229"/>
      <c r="I76" s="229"/>
      <c r="J76" s="229"/>
      <c r="K76" s="229"/>
      <c r="L76" s="229"/>
      <c r="M76" s="229"/>
      <c r="N76" s="232"/>
    </row>
    <row r="77" hidden="1" spans="1:14">
      <c r="A77" s="37"/>
      <c r="B77" s="230" t="s">
        <v>1028</v>
      </c>
      <c r="C77" s="229">
        <v>32.4696</v>
      </c>
      <c r="D77" s="229">
        <v>32.4696</v>
      </c>
      <c r="E77" s="229">
        <v>32.4696</v>
      </c>
      <c r="F77" s="229"/>
      <c r="G77" s="229"/>
      <c r="H77" s="229"/>
      <c r="I77" s="229"/>
      <c r="J77" s="229"/>
      <c r="K77" s="229"/>
      <c r="L77" s="229"/>
      <c r="M77" s="229"/>
      <c r="N77" s="232"/>
    </row>
    <row r="78" hidden="1" spans="1:14">
      <c r="A78" s="37"/>
      <c r="B78" s="230" t="s">
        <v>1033</v>
      </c>
      <c r="C78" s="229">
        <v>47.737538</v>
      </c>
      <c r="D78" s="229">
        <v>47.737538</v>
      </c>
      <c r="E78" s="229">
        <v>47.737538</v>
      </c>
      <c r="F78" s="229"/>
      <c r="G78" s="229"/>
      <c r="H78" s="229"/>
      <c r="I78" s="229"/>
      <c r="J78" s="229"/>
      <c r="K78" s="229"/>
      <c r="L78" s="229"/>
      <c r="M78" s="229"/>
      <c r="N78" s="232"/>
    </row>
    <row r="79" hidden="1" spans="1:14">
      <c r="A79" s="37"/>
      <c r="B79" s="230" t="s">
        <v>1036</v>
      </c>
      <c r="C79" s="229">
        <v>18.622092</v>
      </c>
      <c r="D79" s="229">
        <v>18.622092</v>
      </c>
      <c r="E79" s="229">
        <v>18.622092</v>
      </c>
      <c r="F79" s="229"/>
      <c r="G79" s="229"/>
      <c r="H79" s="229"/>
      <c r="I79" s="229"/>
      <c r="J79" s="229"/>
      <c r="K79" s="229"/>
      <c r="L79" s="229"/>
      <c r="M79" s="229"/>
      <c r="N79" s="232"/>
    </row>
    <row r="80" hidden="1" spans="1:14">
      <c r="A80" s="37"/>
      <c r="B80" s="230" t="s">
        <v>1029</v>
      </c>
      <c r="C80" s="229">
        <v>14.64</v>
      </c>
      <c r="D80" s="229">
        <v>14.64</v>
      </c>
      <c r="E80" s="229">
        <v>14.64</v>
      </c>
      <c r="F80" s="229"/>
      <c r="G80" s="229"/>
      <c r="H80" s="229"/>
      <c r="I80" s="229"/>
      <c r="J80" s="229"/>
      <c r="K80" s="229"/>
      <c r="L80" s="229"/>
      <c r="M80" s="229"/>
      <c r="N80" s="232"/>
    </row>
    <row r="81" hidden="1" spans="1:14">
      <c r="A81" s="37"/>
      <c r="B81" s="230" t="s">
        <v>1037</v>
      </c>
      <c r="C81" s="229">
        <v>0.81174</v>
      </c>
      <c r="D81" s="229">
        <v>0.81174</v>
      </c>
      <c r="E81" s="229">
        <v>0.81174</v>
      </c>
      <c r="F81" s="229"/>
      <c r="G81" s="229"/>
      <c r="H81" s="229"/>
      <c r="I81" s="229"/>
      <c r="J81" s="229"/>
      <c r="K81" s="229"/>
      <c r="L81" s="229"/>
      <c r="M81" s="229"/>
      <c r="N81" s="232"/>
    </row>
    <row r="82" hidden="1" spans="1:14">
      <c r="A82" s="37"/>
      <c r="B82" s="230" t="s">
        <v>1030</v>
      </c>
      <c r="C82" s="229">
        <v>4</v>
      </c>
      <c r="D82" s="229">
        <v>4</v>
      </c>
      <c r="E82" s="229">
        <v>4</v>
      </c>
      <c r="F82" s="229"/>
      <c r="G82" s="229"/>
      <c r="H82" s="229"/>
      <c r="I82" s="229"/>
      <c r="J82" s="229"/>
      <c r="K82" s="229"/>
      <c r="L82" s="229"/>
      <c r="M82" s="229"/>
      <c r="N82" s="232"/>
    </row>
    <row r="83" spans="1:14">
      <c r="A83" s="391" t="s">
        <v>594</v>
      </c>
      <c r="B83" s="231" t="s">
        <v>595</v>
      </c>
      <c r="C83" s="229">
        <v>140.618913</v>
      </c>
      <c r="D83" s="229">
        <v>140.618913</v>
      </c>
      <c r="E83" s="229">
        <v>140.618913</v>
      </c>
      <c r="F83" s="229"/>
      <c r="G83" s="229"/>
      <c r="H83" s="229"/>
      <c r="I83" s="229"/>
      <c r="J83" s="229"/>
      <c r="K83" s="229"/>
      <c r="L83" s="229"/>
      <c r="M83" s="229"/>
      <c r="N83" s="233" t="s">
        <v>578</v>
      </c>
    </row>
    <row r="84" hidden="1" spans="1:14">
      <c r="A84" s="37"/>
      <c r="B84" s="230" t="s">
        <v>1032</v>
      </c>
      <c r="C84" s="229">
        <v>87.03014</v>
      </c>
      <c r="D84" s="229">
        <v>87.03014</v>
      </c>
      <c r="E84" s="229">
        <v>87.03014</v>
      </c>
      <c r="F84" s="229"/>
      <c r="G84" s="229"/>
      <c r="H84" s="229"/>
      <c r="I84" s="229"/>
      <c r="J84" s="229"/>
      <c r="K84" s="229"/>
      <c r="L84" s="229"/>
      <c r="M84" s="229"/>
      <c r="N84" s="232"/>
    </row>
    <row r="85" hidden="1" spans="1:14">
      <c r="A85" s="37"/>
      <c r="B85" s="230" t="s">
        <v>1027</v>
      </c>
      <c r="C85" s="229">
        <v>2</v>
      </c>
      <c r="D85" s="229">
        <v>2</v>
      </c>
      <c r="E85" s="229">
        <v>2</v>
      </c>
      <c r="F85" s="229"/>
      <c r="G85" s="229"/>
      <c r="H85" s="229"/>
      <c r="I85" s="229"/>
      <c r="J85" s="229"/>
      <c r="K85" s="229"/>
      <c r="L85" s="229"/>
      <c r="M85" s="229"/>
      <c r="N85" s="232"/>
    </row>
    <row r="86" hidden="1" spans="1:14">
      <c r="A86" s="37"/>
      <c r="B86" s="230" t="s">
        <v>1031</v>
      </c>
      <c r="C86" s="229">
        <v>4.248</v>
      </c>
      <c r="D86" s="229">
        <v>4.248</v>
      </c>
      <c r="E86" s="229">
        <v>4.248</v>
      </c>
      <c r="F86" s="229"/>
      <c r="G86" s="229"/>
      <c r="H86" s="229"/>
      <c r="I86" s="229"/>
      <c r="J86" s="229"/>
      <c r="K86" s="229"/>
      <c r="L86" s="229"/>
      <c r="M86" s="229"/>
      <c r="N86" s="232"/>
    </row>
    <row r="87" hidden="1" spans="1:14">
      <c r="A87" s="37"/>
      <c r="B87" s="230" t="s">
        <v>1036</v>
      </c>
      <c r="C87" s="229">
        <v>10.443617</v>
      </c>
      <c r="D87" s="229">
        <v>10.443617</v>
      </c>
      <c r="E87" s="229">
        <v>10.443617</v>
      </c>
      <c r="F87" s="229"/>
      <c r="G87" s="229"/>
      <c r="H87" s="229"/>
      <c r="I87" s="229"/>
      <c r="J87" s="229"/>
      <c r="K87" s="229"/>
      <c r="L87" s="229"/>
      <c r="M87" s="229"/>
      <c r="N87" s="232"/>
    </row>
    <row r="88" hidden="1" spans="1:14">
      <c r="A88" s="37"/>
      <c r="B88" s="230" t="s">
        <v>1029</v>
      </c>
      <c r="C88" s="229">
        <v>12.2</v>
      </c>
      <c r="D88" s="229">
        <v>12.2</v>
      </c>
      <c r="E88" s="229">
        <v>12.2</v>
      </c>
      <c r="F88" s="229"/>
      <c r="G88" s="229"/>
      <c r="H88" s="229"/>
      <c r="I88" s="229"/>
      <c r="J88" s="229"/>
      <c r="K88" s="229"/>
      <c r="L88" s="229"/>
      <c r="M88" s="229"/>
      <c r="N88" s="232"/>
    </row>
    <row r="89" hidden="1" spans="1:14">
      <c r="A89" s="37"/>
      <c r="B89" s="230" t="s">
        <v>1033</v>
      </c>
      <c r="C89" s="229">
        <v>22.956553</v>
      </c>
      <c r="D89" s="229">
        <v>22.956553</v>
      </c>
      <c r="E89" s="229">
        <v>22.956553</v>
      </c>
      <c r="F89" s="229"/>
      <c r="G89" s="229"/>
      <c r="H89" s="229"/>
      <c r="I89" s="229"/>
      <c r="J89" s="229"/>
      <c r="K89" s="229"/>
      <c r="L89" s="229"/>
      <c r="M89" s="229"/>
      <c r="N89" s="232"/>
    </row>
    <row r="90" hidden="1" spans="1:14">
      <c r="A90" s="37"/>
      <c r="B90" s="230" t="s">
        <v>1039</v>
      </c>
      <c r="C90" s="229">
        <v>1.740603</v>
      </c>
      <c r="D90" s="229">
        <v>1.740603</v>
      </c>
      <c r="E90" s="229">
        <v>1.740603</v>
      </c>
      <c r="F90" s="229"/>
      <c r="G90" s="229"/>
      <c r="H90" s="229"/>
      <c r="I90" s="229"/>
      <c r="J90" s="229"/>
      <c r="K90" s="229"/>
      <c r="L90" s="229"/>
      <c r="M90" s="229"/>
      <c r="N90" s="232"/>
    </row>
    <row r="91" spans="1:14">
      <c r="A91" s="391" t="s">
        <v>596</v>
      </c>
      <c r="B91" s="231" t="s">
        <v>597</v>
      </c>
      <c r="C91" s="229">
        <v>179.378805</v>
      </c>
      <c r="D91" s="229">
        <v>179.378805</v>
      </c>
      <c r="E91" s="229">
        <v>179.378805</v>
      </c>
      <c r="F91" s="229"/>
      <c r="G91" s="229"/>
      <c r="H91" s="229"/>
      <c r="I91" s="229"/>
      <c r="J91" s="229"/>
      <c r="K91" s="229"/>
      <c r="L91" s="229"/>
      <c r="M91" s="229"/>
      <c r="N91" s="233" t="s">
        <v>578</v>
      </c>
    </row>
    <row r="92" hidden="1" spans="1:14">
      <c r="A92" s="37"/>
      <c r="B92" s="230" t="s">
        <v>1032</v>
      </c>
      <c r="C92" s="229">
        <v>113.27798</v>
      </c>
      <c r="D92" s="229">
        <v>113.27798</v>
      </c>
      <c r="E92" s="229">
        <v>113.27798</v>
      </c>
      <c r="F92" s="229"/>
      <c r="G92" s="229"/>
      <c r="H92" s="229"/>
      <c r="I92" s="229"/>
      <c r="J92" s="229"/>
      <c r="K92" s="229"/>
      <c r="L92" s="229"/>
      <c r="M92" s="229"/>
      <c r="N92" s="232"/>
    </row>
    <row r="93" hidden="1" spans="1:14">
      <c r="A93" s="37"/>
      <c r="B93" s="230" t="s">
        <v>1027</v>
      </c>
      <c r="C93" s="229">
        <v>4</v>
      </c>
      <c r="D93" s="229">
        <v>4</v>
      </c>
      <c r="E93" s="229">
        <v>4</v>
      </c>
      <c r="F93" s="229"/>
      <c r="G93" s="229"/>
      <c r="H93" s="229"/>
      <c r="I93" s="229"/>
      <c r="J93" s="229"/>
      <c r="K93" s="229"/>
      <c r="L93" s="229"/>
      <c r="M93" s="229"/>
      <c r="N93" s="232"/>
    </row>
    <row r="94" hidden="1" spans="1:14">
      <c r="A94" s="37"/>
      <c r="B94" s="230" t="s">
        <v>1033</v>
      </c>
      <c r="C94" s="229">
        <v>29.586907</v>
      </c>
      <c r="D94" s="229">
        <v>29.586907</v>
      </c>
      <c r="E94" s="229">
        <v>29.586907</v>
      </c>
      <c r="F94" s="229"/>
      <c r="G94" s="229"/>
      <c r="H94" s="229"/>
      <c r="I94" s="229"/>
      <c r="J94" s="229"/>
      <c r="K94" s="229"/>
      <c r="L94" s="229"/>
      <c r="M94" s="229"/>
      <c r="N94" s="232"/>
    </row>
    <row r="95" hidden="1" spans="1:14">
      <c r="A95" s="37"/>
      <c r="B95" s="230" t="s">
        <v>1029</v>
      </c>
      <c r="C95" s="229">
        <v>12.155</v>
      </c>
      <c r="D95" s="229">
        <v>12.155</v>
      </c>
      <c r="E95" s="229">
        <v>12.155</v>
      </c>
      <c r="F95" s="229"/>
      <c r="G95" s="229"/>
      <c r="H95" s="229"/>
      <c r="I95" s="229"/>
      <c r="J95" s="229"/>
      <c r="K95" s="229"/>
      <c r="L95" s="229"/>
      <c r="M95" s="229"/>
      <c r="N95" s="232"/>
    </row>
    <row r="96" hidden="1" spans="1:14">
      <c r="A96" s="37"/>
      <c r="B96" s="230" t="s">
        <v>1036</v>
      </c>
      <c r="C96" s="229">
        <v>13.593358</v>
      </c>
      <c r="D96" s="229">
        <v>13.593358</v>
      </c>
      <c r="E96" s="229">
        <v>13.593358</v>
      </c>
      <c r="F96" s="229"/>
      <c r="G96" s="229"/>
      <c r="H96" s="229"/>
      <c r="I96" s="229"/>
      <c r="J96" s="229"/>
      <c r="K96" s="229"/>
      <c r="L96" s="229"/>
      <c r="M96" s="229"/>
      <c r="N96" s="232"/>
    </row>
    <row r="97" hidden="1" spans="1:14">
      <c r="A97" s="37"/>
      <c r="B97" s="230" t="s">
        <v>1031</v>
      </c>
      <c r="C97" s="229">
        <v>4.5</v>
      </c>
      <c r="D97" s="229">
        <v>4.5</v>
      </c>
      <c r="E97" s="229">
        <v>4.5</v>
      </c>
      <c r="F97" s="229"/>
      <c r="G97" s="229"/>
      <c r="H97" s="229"/>
      <c r="I97" s="229"/>
      <c r="J97" s="229"/>
      <c r="K97" s="229"/>
      <c r="L97" s="229"/>
      <c r="M97" s="229"/>
      <c r="N97" s="232"/>
    </row>
    <row r="98" hidden="1" spans="1:14">
      <c r="A98" s="37"/>
      <c r="B98" s="230" t="s">
        <v>1039</v>
      </c>
      <c r="C98" s="229">
        <v>2.26556</v>
      </c>
      <c r="D98" s="229">
        <v>2.26556</v>
      </c>
      <c r="E98" s="229">
        <v>2.26556</v>
      </c>
      <c r="F98" s="229"/>
      <c r="G98" s="229"/>
      <c r="H98" s="229"/>
      <c r="I98" s="229"/>
      <c r="J98" s="229"/>
      <c r="K98" s="229"/>
      <c r="L98" s="229"/>
      <c r="M98" s="229"/>
      <c r="N98" s="232"/>
    </row>
    <row r="99" spans="1:14">
      <c r="A99" s="391" t="s">
        <v>598</v>
      </c>
      <c r="B99" s="230" t="s">
        <v>599</v>
      </c>
      <c r="C99" s="229">
        <v>1503.999779</v>
      </c>
      <c r="D99" s="229">
        <v>1503.999779</v>
      </c>
      <c r="E99" s="229">
        <v>1503.999779</v>
      </c>
      <c r="F99" s="229"/>
      <c r="G99" s="229"/>
      <c r="H99" s="229"/>
      <c r="I99" s="229"/>
      <c r="J99" s="229"/>
      <c r="K99" s="229"/>
      <c r="L99" s="229"/>
      <c r="M99" s="229"/>
      <c r="N99" s="233" t="s">
        <v>578</v>
      </c>
    </row>
    <row r="100" hidden="1" spans="1:14">
      <c r="A100" s="37"/>
      <c r="B100" s="230" t="s">
        <v>1037</v>
      </c>
      <c r="C100" s="229">
        <v>17.443098</v>
      </c>
      <c r="D100" s="229">
        <v>17.443098</v>
      </c>
      <c r="E100" s="229">
        <v>17.443098</v>
      </c>
      <c r="F100" s="229"/>
      <c r="G100" s="229"/>
      <c r="H100" s="229"/>
      <c r="I100" s="229"/>
      <c r="J100" s="229"/>
      <c r="K100" s="229"/>
      <c r="L100" s="229"/>
      <c r="M100" s="229"/>
      <c r="N100" s="232"/>
    </row>
    <row r="101" hidden="1" spans="1:14">
      <c r="A101" s="37"/>
      <c r="B101" s="230" t="s">
        <v>1031</v>
      </c>
      <c r="C101" s="229">
        <v>36</v>
      </c>
      <c r="D101" s="229">
        <v>36</v>
      </c>
      <c r="E101" s="229">
        <v>36</v>
      </c>
      <c r="F101" s="229"/>
      <c r="G101" s="229"/>
      <c r="H101" s="229"/>
      <c r="I101" s="229"/>
      <c r="J101" s="229"/>
      <c r="K101" s="229"/>
      <c r="L101" s="229"/>
      <c r="M101" s="229"/>
      <c r="N101" s="232"/>
    </row>
    <row r="102" hidden="1" spans="1:14">
      <c r="A102" s="37"/>
      <c r="B102" s="230" t="s">
        <v>1036</v>
      </c>
      <c r="C102" s="229">
        <v>80.895516</v>
      </c>
      <c r="D102" s="229">
        <v>80.895516</v>
      </c>
      <c r="E102" s="229">
        <v>80.895516</v>
      </c>
      <c r="F102" s="229"/>
      <c r="G102" s="229"/>
      <c r="H102" s="229"/>
      <c r="I102" s="229"/>
      <c r="J102" s="229"/>
      <c r="K102" s="229"/>
      <c r="L102" s="229"/>
      <c r="M102" s="229"/>
      <c r="N102" s="232"/>
    </row>
    <row r="103" hidden="1" spans="1:14">
      <c r="A103" s="37"/>
      <c r="B103" s="230" t="s">
        <v>1038</v>
      </c>
      <c r="C103" s="229">
        <v>2.95</v>
      </c>
      <c r="D103" s="229">
        <v>2.95</v>
      </c>
      <c r="E103" s="229">
        <v>2.95</v>
      </c>
      <c r="F103" s="229"/>
      <c r="G103" s="229"/>
      <c r="H103" s="229"/>
      <c r="I103" s="229"/>
      <c r="J103" s="229"/>
      <c r="K103" s="229"/>
      <c r="L103" s="229"/>
      <c r="M103" s="229"/>
      <c r="N103" s="232"/>
    </row>
    <row r="104" hidden="1" spans="1:14">
      <c r="A104" s="37"/>
      <c r="B104" s="230" t="s">
        <v>1032</v>
      </c>
      <c r="C104" s="229">
        <v>674.1293</v>
      </c>
      <c r="D104" s="229">
        <v>674.1293</v>
      </c>
      <c r="E104" s="229">
        <v>674.1293</v>
      </c>
      <c r="F104" s="229"/>
      <c r="G104" s="229"/>
      <c r="H104" s="229"/>
      <c r="I104" s="229"/>
      <c r="J104" s="229"/>
      <c r="K104" s="229"/>
      <c r="L104" s="229"/>
      <c r="M104" s="229"/>
      <c r="N104" s="232"/>
    </row>
    <row r="105" hidden="1" spans="1:14">
      <c r="A105" s="37"/>
      <c r="B105" s="230" t="s">
        <v>1027</v>
      </c>
      <c r="C105" s="229">
        <v>6</v>
      </c>
      <c r="D105" s="229">
        <v>6</v>
      </c>
      <c r="E105" s="229">
        <v>6</v>
      </c>
      <c r="F105" s="229"/>
      <c r="G105" s="229"/>
      <c r="H105" s="229"/>
      <c r="I105" s="229"/>
      <c r="J105" s="229"/>
      <c r="K105" s="229"/>
      <c r="L105" s="229"/>
      <c r="M105" s="229"/>
      <c r="N105" s="232"/>
    </row>
    <row r="106" hidden="1" spans="1:14">
      <c r="A106" s="37"/>
      <c r="B106" s="230" t="s">
        <v>1035</v>
      </c>
      <c r="C106" s="229">
        <v>6.56</v>
      </c>
      <c r="D106" s="229">
        <v>6.56</v>
      </c>
      <c r="E106" s="229">
        <v>6.56</v>
      </c>
      <c r="F106" s="229"/>
      <c r="G106" s="229"/>
      <c r="H106" s="229"/>
      <c r="I106" s="229"/>
      <c r="J106" s="229"/>
      <c r="K106" s="229"/>
      <c r="L106" s="229"/>
      <c r="M106" s="229"/>
      <c r="N106" s="232"/>
    </row>
    <row r="107" hidden="1" spans="1:14">
      <c r="A107" s="37"/>
      <c r="B107" s="230" t="s">
        <v>1028</v>
      </c>
      <c r="C107" s="229">
        <v>268.12056</v>
      </c>
      <c r="D107" s="229">
        <v>268.12056</v>
      </c>
      <c r="E107" s="229">
        <v>268.12056</v>
      </c>
      <c r="F107" s="229"/>
      <c r="G107" s="229"/>
      <c r="H107" s="229"/>
      <c r="I107" s="229"/>
      <c r="J107" s="229"/>
      <c r="K107" s="229"/>
      <c r="L107" s="229"/>
      <c r="M107" s="229"/>
      <c r="N107" s="232"/>
    </row>
    <row r="108" hidden="1" spans="1:14">
      <c r="A108" s="37"/>
      <c r="B108" s="230" t="s">
        <v>1033</v>
      </c>
      <c r="C108" s="229">
        <v>229.644719</v>
      </c>
      <c r="D108" s="229">
        <v>229.644719</v>
      </c>
      <c r="E108" s="229">
        <v>229.644719</v>
      </c>
      <c r="F108" s="229"/>
      <c r="G108" s="229"/>
      <c r="H108" s="229"/>
      <c r="I108" s="229"/>
      <c r="J108" s="229"/>
      <c r="K108" s="229"/>
      <c r="L108" s="229"/>
      <c r="M108" s="229"/>
      <c r="N108" s="232"/>
    </row>
    <row r="109" hidden="1" spans="1:14">
      <c r="A109" s="37"/>
      <c r="B109" s="230" t="s">
        <v>1039</v>
      </c>
      <c r="C109" s="229">
        <v>20.482586</v>
      </c>
      <c r="D109" s="229">
        <v>20.482586</v>
      </c>
      <c r="E109" s="229">
        <v>20.482586</v>
      </c>
      <c r="F109" s="229"/>
      <c r="G109" s="229"/>
      <c r="H109" s="229"/>
      <c r="I109" s="229"/>
      <c r="J109" s="229"/>
      <c r="K109" s="229"/>
      <c r="L109" s="229"/>
      <c r="M109" s="229"/>
      <c r="N109" s="232"/>
    </row>
    <row r="110" hidden="1" spans="1:14">
      <c r="A110" s="37"/>
      <c r="B110" s="230" t="s">
        <v>1029</v>
      </c>
      <c r="C110" s="229">
        <v>141.774</v>
      </c>
      <c r="D110" s="229">
        <v>141.774</v>
      </c>
      <c r="E110" s="229">
        <v>141.774</v>
      </c>
      <c r="F110" s="229"/>
      <c r="G110" s="229"/>
      <c r="H110" s="229"/>
      <c r="I110" s="229"/>
      <c r="J110" s="229"/>
      <c r="K110" s="229"/>
      <c r="L110" s="229"/>
      <c r="M110" s="229"/>
      <c r="N110" s="232"/>
    </row>
    <row r="111" hidden="1" spans="1:14">
      <c r="A111" s="37"/>
      <c r="B111" s="230" t="s">
        <v>1030</v>
      </c>
      <c r="C111" s="229">
        <v>20</v>
      </c>
      <c r="D111" s="229">
        <v>20</v>
      </c>
      <c r="E111" s="229">
        <v>20</v>
      </c>
      <c r="F111" s="229"/>
      <c r="G111" s="229"/>
      <c r="H111" s="229"/>
      <c r="I111" s="229"/>
      <c r="J111" s="229"/>
      <c r="K111" s="229"/>
      <c r="L111" s="229"/>
      <c r="M111" s="229"/>
      <c r="N111" s="232"/>
    </row>
    <row r="112" spans="1:14">
      <c r="A112" s="391" t="s">
        <v>600</v>
      </c>
      <c r="B112" s="230" t="s">
        <v>601</v>
      </c>
      <c r="C112" s="229">
        <v>1153.272553</v>
      </c>
      <c r="D112" s="229">
        <v>1153.272553</v>
      </c>
      <c r="E112" s="229">
        <v>1153.272553</v>
      </c>
      <c r="F112" s="229"/>
      <c r="G112" s="229"/>
      <c r="H112" s="229"/>
      <c r="I112" s="229"/>
      <c r="J112" s="229"/>
      <c r="K112" s="229"/>
      <c r="L112" s="229"/>
      <c r="M112" s="229"/>
      <c r="N112" s="233" t="s">
        <v>578</v>
      </c>
    </row>
    <row r="113" hidden="1" spans="1:14">
      <c r="A113" s="37"/>
      <c r="B113" s="230" t="s">
        <v>1030</v>
      </c>
      <c r="C113" s="229">
        <v>20</v>
      </c>
      <c r="D113" s="229">
        <v>20</v>
      </c>
      <c r="E113" s="229">
        <v>20</v>
      </c>
      <c r="F113" s="229"/>
      <c r="G113" s="229"/>
      <c r="H113" s="229"/>
      <c r="I113" s="229"/>
      <c r="J113" s="229"/>
      <c r="K113" s="229"/>
      <c r="L113" s="229"/>
      <c r="M113" s="229"/>
      <c r="N113" s="232"/>
    </row>
    <row r="114" hidden="1" spans="1:14">
      <c r="A114" s="37"/>
      <c r="B114" s="230" t="s">
        <v>1036</v>
      </c>
      <c r="C114" s="229">
        <v>60.465373</v>
      </c>
      <c r="D114" s="229">
        <v>60.465373</v>
      </c>
      <c r="E114" s="229">
        <v>60.465373</v>
      </c>
      <c r="F114" s="229"/>
      <c r="G114" s="229"/>
      <c r="H114" s="229"/>
      <c r="I114" s="229"/>
      <c r="J114" s="229"/>
      <c r="K114" s="229"/>
      <c r="L114" s="229"/>
      <c r="M114" s="229"/>
      <c r="N114" s="232"/>
    </row>
    <row r="115" hidden="1" spans="1:14">
      <c r="A115" s="37"/>
      <c r="B115" s="230" t="s">
        <v>1027</v>
      </c>
      <c r="C115" s="229">
        <v>6</v>
      </c>
      <c r="D115" s="229">
        <v>6</v>
      </c>
      <c r="E115" s="229">
        <v>6</v>
      </c>
      <c r="F115" s="229"/>
      <c r="G115" s="229"/>
      <c r="H115" s="229"/>
      <c r="I115" s="229"/>
      <c r="J115" s="229"/>
      <c r="K115" s="229"/>
      <c r="L115" s="229"/>
      <c r="M115" s="229"/>
      <c r="N115" s="232"/>
    </row>
    <row r="116" hidden="1" spans="1:14">
      <c r="A116" s="37"/>
      <c r="B116" s="230" t="s">
        <v>1035</v>
      </c>
      <c r="C116" s="229">
        <v>4.64</v>
      </c>
      <c r="D116" s="229">
        <v>4.64</v>
      </c>
      <c r="E116" s="229">
        <v>4.64</v>
      </c>
      <c r="F116" s="229"/>
      <c r="G116" s="229"/>
      <c r="H116" s="229"/>
      <c r="I116" s="229"/>
      <c r="J116" s="229"/>
      <c r="K116" s="229"/>
      <c r="L116" s="229"/>
      <c r="M116" s="229"/>
      <c r="N116" s="232"/>
    </row>
    <row r="117" hidden="1" spans="1:14">
      <c r="A117" s="37"/>
      <c r="B117" s="230" t="s">
        <v>1039</v>
      </c>
      <c r="C117" s="229">
        <v>16.797562</v>
      </c>
      <c r="D117" s="229">
        <v>16.797562</v>
      </c>
      <c r="E117" s="229">
        <v>16.797562</v>
      </c>
      <c r="F117" s="229"/>
      <c r="G117" s="229"/>
      <c r="H117" s="229"/>
      <c r="I117" s="229"/>
      <c r="J117" s="229"/>
      <c r="K117" s="229"/>
      <c r="L117" s="229"/>
      <c r="M117" s="229"/>
      <c r="N117" s="232"/>
    </row>
    <row r="118" hidden="1" spans="1:14">
      <c r="A118" s="37"/>
      <c r="B118" s="230" t="s">
        <v>1033</v>
      </c>
      <c r="C118" s="229">
        <v>172.02281</v>
      </c>
      <c r="D118" s="229">
        <v>172.02281</v>
      </c>
      <c r="E118" s="229">
        <v>172.02281</v>
      </c>
      <c r="F118" s="229"/>
      <c r="G118" s="229"/>
      <c r="H118" s="229"/>
      <c r="I118" s="229"/>
      <c r="J118" s="229"/>
      <c r="K118" s="229"/>
      <c r="L118" s="229"/>
      <c r="M118" s="229"/>
      <c r="N118" s="232"/>
    </row>
    <row r="119" hidden="1" spans="1:14">
      <c r="A119" s="37"/>
      <c r="B119" s="230" t="s">
        <v>1038</v>
      </c>
      <c r="C119" s="229">
        <v>3.056</v>
      </c>
      <c r="D119" s="229">
        <v>3.056</v>
      </c>
      <c r="E119" s="229">
        <v>3.056</v>
      </c>
      <c r="F119" s="229"/>
      <c r="G119" s="229"/>
      <c r="H119" s="229"/>
      <c r="I119" s="229"/>
      <c r="J119" s="229"/>
      <c r="K119" s="229"/>
      <c r="L119" s="229"/>
      <c r="M119" s="229"/>
      <c r="N119" s="232"/>
    </row>
    <row r="120" hidden="1" spans="1:14">
      <c r="A120" s="37"/>
      <c r="B120" s="230" t="s">
        <v>1037</v>
      </c>
      <c r="C120" s="229">
        <v>27.991032</v>
      </c>
      <c r="D120" s="229">
        <v>27.991032</v>
      </c>
      <c r="E120" s="229">
        <v>27.991032</v>
      </c>
      <c r="F120" s="229"/>
      <c r="G120" s="229"/>
      <c r="H120" s="229"/>
      <c r="I120" s="229"/>
      <c r="J120" s="229"/>
      <c r="K120" s="229"/>
      <c r="L120" s="229"/>
      <c r="M120" s="229"/>
      <c r="N120" s="232"/>
    </row>
    <row r="121" hidden="1" spans="1:14">
      <c r="A121" s="37"/>
      <c r="B121" s="230" t="s">
        <v>1034</v>
      </c>
      <c r="C121" s="229">
        <v>2.028</v>
      </c>
      <c r="D121" s="229">
        <v>2.028</v>
      </c>
      <c r="E121" s="229">
        <v>2.028</v>
      </c>
      <c r="F121" s="229"/>
      <c r="G121" s="229"/>
      <c r="H121" s="229"/>
      <c r="I121" s="229"/>
      <c r="J121" s="229"/>
      <c r="K121" s="229"/>
      <c r="L121" s="229"/>
      <c r="M121" s="229"/>
      <c r="N121" s="232"/>
    </row>
    <row r="122" hidden="1" spans="1:14">
      <c r="A122" s="37"/>
      <c r="B122" s="230" t="s">
        <v>1029</v>
      </c>
      <c r="C122" s="229">
        <v>112.2</v>
      </c>
      <c r="D122" s="229">
        <v>112.2</v>
      </c>
      <c r="E122" s="229">
        <v>112.2</v>
      </c>
      <c r="F122" s="229"/>
      <c r="G122" s="229"/>
      <c r="H122" s="229"/>
      <c r="I122" s="229"/>
      <c r="J122" s="229"/>
      <c r="K122" s="229"/>
      <c r="L122" s="229"/>
      <c r="M122" s="229"/>
      <c r="N122" s="232"/>
    </row>
    <row r="123" hidden="1" spans="1:14">
      <c r="A123" s="37"/>
      <c r="B123" s="230" t="s">
        <v>1031</v>
      </c>
      <c r="C123" s="229">
        <v>22.248</v>
      </c>
      <c r="D123" s="229">
        <v>22.248</v>
      </c>
      <c r="E123" s="229">
        <v>22.248</v>
      </c>
      <c r="F123" s="229"/>
      <c r="G123" s="229"/>
      <c r="H123" s="229"/>
      <c r="I123" s="229"/>
      <c r="J123" s="229"/>
      <c r="K123" s="229"/>
      <c r="L123" s="229"/>
      <c r="M123" s="229"/>
      <c r="N123" s="232"/>
    </row>
    <row r="124" hidden="1" spans="1:14">
      <c r="A124" s="37"/>
      <c r="B124" s="230" t="s">
        <v>1028</v>
      </c>
      <c r="C124" s="229">
        <v>201.775668</v>
      </c>
      <c r="D124" s="229">
        <v>201.775668</v>
      </c>
      <c r="E124" s="229">
        <v>201.775668</v>
      </c>
      <c r="F124" s="229"/>
      <c r="G124" s="229"/>
      <c r="H124" s="229"/>
      <c r="I124" s="229"/>
      <c r="J124" s="229"/>
      <c r="K124" s="229"/>
      <c r="L124" s="229"/>
      <c r="M124" s="229"/>
      <c r="N124" s="232"/>
    </row>
    <row r="125" hidden="1" spans="1:14">
      <c r="A125" s="37"/>
      <c r="B125" s="230" t="s">
        <v>1032</v>
      </c>
      <c r="C125" s="229">
        <v>503.878108</v>
      </c>
      <c r="D125" s="229">
        <v>503.878108</v>
      </c>
      <c r="E125" s="229">
        <v>503.878108</v>
      </c>
      <c r="F125" s="229"/>
      <c r="G125" s="229"/>
      <c r="H125" s="229"/>
      <c r="I125" s="229"/>
      <c r="J125" s="229"/>
      <c r="K125" s="229"/>
      <c r="L125" s="229"/>
      <c r="M125" s="229"/>
      <c r="N125" s="232"/>
    </row>
    <row r="126" hidden="1" spans="1:14">
      <c r="A126" s="37"/>
      <c r="B126" s="230" t="s">
        <v>1042</v>
      </c>
      <c r="C126" s="229">
        <v>0.17</v>
      </c>
      <c r="D126" s="229">
        <v>0.17</v>
      </c>
      <c r="E126" s="229">
        <v>0.17</v>
      </c>
      <c r="F126" s="229"/>
      <c r="G126" s="229"/>
      <c r="H126" s="229"/>
      <c r="I126" s="229"/>
      <c r="J126" s="229"/>
      <c r="K126" s="229"/>
      <c r="L126" s="229"/>
      <c r="M126" s="229"/>
      <c r="N126" s="232"/>
    </row>
    <row r="127" spans="1:14">
      <c r="A127" s="391" t="s">
        <v>1043</v>
      </c>
      <c r="B127" s="231" t="s">
        <v>603</v>
      </c>
      <c r="C127" s="229">
        <v>2398.814383</v>
      </c>
      <c r="D127" s="229">
        <v>2398.814383</v>
      </c>
      <c r="E127" s="229">
        <v>2398.814383</v>
      </c>
      <c r="F127" s="229"/>
      <c r="G127" s="229"/>
      <c r="H127" s="229"/>
      <c r="I127" s="229"/>
      <c r="J127" s="229"/>
      <c r="K127" s="229"/>
      <c r="L127" s="229"/>
      <c r="M127" s="229"/>
      <c r="N127" s="233" t="s">
        <v>578</v>
      </c>
    </row>
    <row r="128" hidden="1" spans="1:14">
      <c r="A128" s="37"/>
      <c r="B128" s="230" t="s">
        <v>1039</v>
      </c>
      <c r="C128" s="229">
        <v>27.480973</v>
      </c>
      <c r="D128" s="229">
        <v>27.480973</v>
      </c>
      <c r="E128" s="229">
        <v>27.480973</v>
      </c>
      <c r="F128" s="229"/>
      <c r="G128" s="229"/>
      <c r="H128" s="229"/>
      <c r="I128" s="229"/>
      <c r="J128" s="229"/>
      <c r="K128" s="229"/>
      <c r="L128" s="229"/>
      <c r="M128" s="229"/>
      <c r="N128" s="232"/>
    </row>
    <row r="129" hidden="1" spans="1:14">
      <c r="A129" s="37"/>
      <c r="B129" s="230" t="s">
        <v>1027</v>
      </c>
      <c r="C129" s="229">
        <v>6</v>
      </c>
      <c r="D129" s="229">
        <v>6</v>
      </c>
      <c r="E129" s="229">
        <v>6</v>
      </c>
      <c r="F129" s="229"/>
      <c r="G129" s="229"/>
      <c r="H129" s="229"/>
      <c r="I129" s="229"/>
      <c r="J129" s="229"/>
      <c r="K129" s="229"/>
      <c r="L129" s="229"/>
      <c r="M129" s="229"/>
      <c r="N129" s="232"/>
    </row>
    <row r="130" hidden="1" spans="1:14">
      <c r="A130" s="37"/>
      <c r="B130" s="230" t="s">
        <v>1030</v>
      </c>
      <c r="C130" s="229">
        <v>24</v>
      </c>
      <c r="D130" s="229">
        <v>24</v>
      </c>
      <c r="E130" s="229">
        <v>24</v>
      </c>
      <c r="F130" s="229"/>
      <c r="G130" s="229"/>
      <c r="H130" s="229"/>
      <c r="I130" s="229"/>
      <c r="J130" s="229"/>
      <c r="K130" s="229"/>
      <c r="L130" s="229"/>
      <c r="M130" s="229"/>
      <c r="N130" s="232"/>
    </row>
    <row r="131" hidden="1" spans="1:14">
      <c r="A131" s="37"/>
      <c r="B131" s="230" t="s">
        <v>1032</v>
      </c>
      <c r="C131" s="229">
        <v>1374.048648</v>
      </c>
      <c r="D131" s="229">
        <v>1374.048648</v>
      </c>
      <c r="E131" s="229">
        <v>1374.048648</v>
      </c>
      <c r="F131" s="229"/>
      <c r="G131" s="229"/>
      <c r="H131" s="229"/>
      <c r="I131" s="229"/>
      <c r="J131" s="229"/>
      <c r="K131" s="229"/>
      <c r="L131" s="229"/>
      <c r="M131" s="229"/>
      <c r="N131" s="232"/>
    </row>
    <row r="132" hidden="1" spans="1:14">
      <c r="A132" s="37"/>
      <c r="B132" s="230" t="s">
        <v>1035</v>
      </c>
      <c r="C132" s="229">
        <v>5.36</v>
      </c>
      <c r="D132" s="229">
        <v>5.36</v>
      </c>
      <c r="E132" s="229">
        <v>5.36</v>
      </c>
      <c r="F132" s="229"/>
      <c r="G132" s="229"/>
      <c r="H132" s="229"/>
      <c r="I132" s="229"/>
      <c r="J132" s="229"/>
      <c r="K132" s="229"/>
      <c r="L132" s="229"/>
      <c r="M132" s="229"/>
      <c r="N132" s="232"/>
    </row>
    <row r="133" hidden="1" spans="1:14">
      <c r="A133" s="37"/>
      <c r="B133" s="230" t="s">
        <v>1036</v>
      </c>
      <c r="C133" s="229">
        <v>164.885838</v>
      </c>
      <c r="D133" s="229">
        <v>164.885838</v>
      </c>
      <c r="E133" s="229">
        <v>164.885838</v>
      </c>
      <c r="F133" s="229"/>
      <c r="G133" s="229"/>
      <c r="H133" s="229"/>
      <c r="I133" s="229"/>
      <c r="J133" s="229"/>
      <c r="K133" s="229"/>
      <c r="L133" s="229"/>
      <c r="M133" s="229"/>
      <c r="N133" s="232"/>
    </row>
    <row r="134" hidden="1" spans="1:14">
      <c r="A134" s="37"/>
      <c r="B134" s="230" t="s">
        <v>1033</v>
      </c>
      <c r="C134" s="229">
        <v>399.423594</v>
      </c>
      <c r="D134" s="229">
        <v>399.423594</v>
      </c>
      <c r="E134" s="229">
        <v>399.423594</v>
      </c>
      <c r="F134" s="229"/>
      <c r="G134" s="229"/>
      <c r="H134" s="229"/>
      <c r="I134" s="229"/>
      <c r="J134" s="229"/>
      <c r="K134" s="229"/>
      <c r="L134" s="229"/>
      <c r="M134" s="229"/>
      <c r="N134" s="232"/>
    </row>
    <row r="135" hidden="1" spans="1:14">
      <c r="A135" s="37"/>
      <c r="B135" s="230" t="s">
        <v>1038</v>
      </c>
      <c r="C135" s="229">
        <v>1.34</v>
      </c>
      <c r="D135" s="229">
        <v>1.34</v>
      </c>
      <c r="E135" s="229">
        <v>1.34</v>
      </c>
      <c r="F135" s="229"/>
      <c r="G135" s="229"/>
      <c r="H135" s="229"/>
      <c r="I135" s="229"/>
      <c r="J135" s="229"/>
      <c r="K135" s="229"/>
      <c r="L135" s="229"/>
      <c r="M135" s="229"/>
      <c r="N135" s="232"/>
    </row>
    <row r="136" hidden="1" spans="1:14">
      <c r="A136" s="37"/>
      <c r="B136" s="230" t="s">
        <v>1028</v>
      </c>
      <c r="C136" s="229">
        <v>168.8052</v>
      </c>
      <c r="D136" s="229">
        <v>168.8052</v>
      </c>
      <c r="E136" s="229">
        <v>168.8052</v>
      </c>
      <c r="F136" s="229"/>
      <c r="G136" s="229"/>
      <c r="H136" s="229"/>
      <c r="I136" s="229"/>
      <c r="J136" s="229"/>
      <c r="K136" s="229"/>
      <c r="L136" s="229"/>
      <c r="M136" s="229"/>
      <c r="N136" s="232"/>
    </row>
    <row r="137" hidden="1" spans="1:14">
      <c r="A137" s="37"/>
      <c r="B137" s="230" t="s">
        <v>1037</v>
      </c>
      <c r="C137" s="229">
        <v>5.78013</v>
      </c>
      <c r="D137" s="229">
        <v>5.78013</v>
      </c>
      <c r="E137" s="229">
        <v>5.78013</v>
      </c>
      <c r="F137" s="229"/>
      <c r="G137" s="229"/>
      <c r="H137" s="229"/>
      <c r="I137" s="229"/>
      <c r="J137" s="229"/>
      <c r="K137" s="229"/>
      <c r="L137" s="229"/>
      <c r="M137" s="229"/>
      <c r="N137" s="232"/>
    </row>
    <row r="138" hidden="1" spans="1:14">
      <c r="A138" s="37"/>
      <c r="B138" s="230" t="s">
        <v>1031</v>
      </c>
      <c r="C138" s="229">
        <v>42.012</v>
      </c>
      <c r="D138" s="229">
        <v>42.012</v>
      </c>
      <c r="E138" s="229">
        <v>42.012</v>
      </c>
      <c r="F138" s="229"/>
      <c r="G138" s="229"/>
      <c r="H138" s="229"/>
      <c r="I138" s="229"/>
      <c r="J138" s="229"/>
      <c r="K138" s="229"/>
      <c r="L138" s="229"/>
      <c r="M138" s="229"/>
      <c r="N138" s="232"/>
    </row>
    <row r="139" hidden="1" spans="1:14">
      <c r="A139" s="37"/>
      <c r="B139" s="230" t="s">
        <v>1034</v>
      </c>
      <c r="C139" s="229">
        <v>2.028</v>
      </c>
      <c r="D139" s="229">
        <v>2.028</v>
      </c>
      <c r="E139" s="229">
        <v>2.028</v>
      </c>
      <c r="F139" s="229"/>
      <c r="G139" s="229"/>
      <c r="H139" s="229"/>
      <c r="I139" s="229"/>
      <c r="J139" s="229"/>
      <c r="K139" s="229"/>
      <c r="L139" s="229"/>
      <c r="M139" s="229"/>
      <c r="N139" s="232"/>
    </row>
    <row r="140" hidden="1" spans="1:14">
      <c r="A140" s="37"/>
      <c r="B140" s="230" t="s">
        <v>1029</v>
      </c>
      <c r="C140" s="229">
        <v>177.65</v>
      </c>
      <c r="D140" s="229">
        <v>177.65</v>
      </c>
      <c r="E140" s="229">
        <v>177.65</v>
      </c>
      <c r="F140" s="229"/>
      <c r="G140" s="229"/>
      <c r="H140" s="229"/>
      <c r="I140" s="229"/>
      <c r="J140" s="229"/>
      <c r="K140" s="229"/>
      <c r="L140" s="229"/>
      <c r="M140" s="229"/>
      <c r="N140" s="232"/>
    </row>
    <row r="141" spans="1:14">
      <c r="A141" s="392" t="s">
        <v>1044</v>
      </c>
      <c r="B141" s="231" t="s">
        <v>605</v>
      </c>
      <c r="C141" s="229">
        <v>907.687963</v>
      </c>
      <c r="D141" s="229">
        <v>907.687963</v>
      </c>
      <c r="E141" s="229">
        <v>907.687963</v>
      </c>
      <c r="F141" s="229"/>
      <c r="G141" s="229"/>
      <c r="H141" s="229"/>
      <c r="I141" s="229"/>
      <c r="J141" s="229"/>
      <c r="K141" s="229"/>
      <c r="L141" s="229"/>
      <c r="M141" s="229"/>
      <c r="N141" s="233" t="s">
        <v>578</v>
      </c>
    </row>
    <row r="142" hidden="1" spans="1:14">
      <c r="A142" s="37"/>
      <c r="B142" s="230" t="s">
        <v>1032</v>
      </c>
      <c r="C142" s="229">
        <v>293.1386</v>
      </c>
      <c r="D142" s="229">
        <v>293.1386</v>
      </c>
      <c r="E142" s="229">
        <v>293.1386</v>
      </c>
      <c r="F142" s="229"/>
      <c r="G142" s="229"/>
      <c r="H142" s="229"/>
      <c r="I142" s="229"/>
      <c r="J142" s="229"/>
      <c r="K142" s="229"/>
      <c r="L142" s="229"/>
      <c r="M142" s="229"/>
      <c r="N142" s="232"/>
    </row>
    <row r="143" hidden="1" spans="1:14">
      <c r="A143" s="37"/>
      <c r="B143" s="230" t="s">
        <v>1029</v>
      </c>
      <c r="C143" s="229">
        <v>30.39</v>
      </c>
      <c r="D143" s="229">
        <v>30.39</v>
      </c>
      <c r="E143" s="229">
        <v>30.39</v>
      </c>
      <c r="F143" s="229"/>
      <c r="G143" s="229"/>
      <c r="H143" s="229"/>
      <c r="I143" s="229"/>
      <c r="J143" s="229"/>
      <c r="K143" s="229"/>
      <c r="L143" s="229"/>
      <c r="M143" s="229"/>
      <c r="N143" s="232"/>
    </row>
    <row r="144" hidden="1" spans="1:14">
      <c r="A144" s="37"/>
      <c r="B144" s="230" t="s">
        <v>1027</v>
      </c>
      <c r="C144" s="229">
        <v>6</v>
      </c>
      <c r="D144" s="229">
        <v>6</v>
      </c>
      <c r="E144" s="229">
        <v>6</v>
      </c>
      <c r="F144" s="229"/>
      <c r="G144" s="229"/>
      <c r="H144" s="229"/>
      <c r="I144" s="229"/>
      <c r="J144" s="229"/>
      <c r="K144" s="229"/>
      <c r="L144" s="229"/>
      <c r="M144" s="229"/>
      <c r="N144" s="232"/>
    </row>
    <row r="145" hidden="1" spans="1:14">
      <c r="A145" s="37"/>
      <c r="B145" s="230" t="s">
        <v>1031</v>
      </c>
      <c r="C145" s="229">
        <v>13.68</v>
      </c>
      <c r="D145" s="229">
        <v>13.68</v>
      </c>
      <c r="E145" s="229">
        <v>13.68</v>
      </c>
      <c r="F145" s="229"/>
      <c r="G145" s="229"/>
      <c r="H145" s="229"/>
      <c r="I145" s="229"/>
      <c r="J145" s="229"/>
      <c r="K145" s="229"/>
      <c r="L145" s="229"/>
      <c r="M145" s="229"/>
      <c r="N145" s="232"/>
    </row>
    <row r="146" hidden="1" spans="1:14">
      <c r="A146" s="37"/>
      <c r="B146" s="230" t="s">
        <v>1028</v>
      </c>
      <c r="C146" s="229">
        <v>2.94</v>
      </c>
      <c r="D146" s="229">
        <v>2.94</v>
      </c>
      <c r="E146" s="229">
        <v>2.94</v>
      </c>
      <c r="F146" s="229"/>
      <c r="G146" s="229"/>
      <c r="H146" s="229"/>
      <c r="I146" s="229"/>
      <c r="J146" s="229"/>
      <c r="K146" s="229"/>
      <c r="L146" s="229"/>
      <c r="M146" s="229"/>
      <c r="N146" s="232"/>
    </row>
    <row r="147" hidden="1" spans="1:14">
      <c r="A147" s="37"/>
      <c r="B147" s="230" t="s">
        <v>1036</v>
      </c>
      <c r="C147" s="229">
        <v>35.176632</v>
      </c>
      <c r="D147" s="229">
        <v>35.176632</v>
      </c>
      <c r="E147" s="229">
        <v>35.176632</v>
      </c>
      <c r="F147" s="229"/>
      <c r="G147" s="229"/>
      <c r="H147" s="229"/>
      <c r="I147" s="229"/>
      <c r="J147" s="229"/>
      <c r="K147" s="229"/>
      <c r="L147" s="229"/>
      <c r="M147" s="229"/>
      <c r="N147" s="232"/>
    </row>
    <row r="148" hidden="1" spans="1:14">
      <c r="A148" s="37"/>
      <c r="B148" s="230" t="s">
        <v>1037</v>
      </c>
      <c r="C148" s="229">
        <v>0.0735</v>
      </c>
      <c r="D148" s="229">
        <v>0.0735</v>
      </c>
      <c r="E148" s="229">
        <v>0.0735</v>
      </c>
      <c r="F148" s="229"/>
      <c r="G148" s="229"/>
      <c r="H148" s="229"/>
      <c r="I148" s="229"/>
      <c r="J148" s="229"/>
      <c r="K148" s="229"/>
      <c r="L148" s="229"/>
      <c r="M148" s="229"/>
      <c r="N148" s="232"/>
    </row>
    <row r="149" hidden="1" spans="1:14">
      <c r="A149" s="37"/>
      <c r="B149" s="230" t="s">
        <v>1033</v>
      </c>
      <c r="C149" s="229">
        <v>80.326459</v>
      </c>
      <c r="D149" s="229">
        <v>80.326459</v>
      </c>
      <c r="E149" s="229">
        <v>80.326459</v>
      </c>
      <c r="F149" s="229"/>
      <c r="G149" s="229"/>
      <c r="H149" s="229"/>
      <c r="I149" s="229"/>
      <c r="J149" s="229"/>
      <c r="K149" s="229"/>
      <c r="L149" s="229"/>
      <c r="M149" s="229"/>
      <c r="N149" s="232"/>
    </row>
    <row r="150" hidden="1" spans="1:14">
      <c r="A150" s="37"/>
      <c r="B150" s="230" t="s">
        <v>1035</v>
      </c>
      <c r="C150" s="229">
        <v>0.1</v>
      </c>
      <c r="D150" s="229">
        <v>0.1</v>
      </c>
      <c r="E150" s="229">
        <v>0.1</v>
      </c>
      <c r="F150" s="229"/>
      <c r="G150" s="229"/>
      <c r="H150" s="229"/>
      <c r="I150" s="229"/>
      <c r="J150" s="229"/>
      <c r="K150" s="229"/>
      <c r="L150" s="229"/>
      <c r="M150" s="229"/>
      <c r="N150" s="232"/>
    </row>
    <row r="151" hidden="1" spans="1:14">
      <c r="A151" s="37"/>
      <c r="B151" s="230" t="s">
        <v>1030</v>
      </c>
      <c r="C151" s="229">
        <v>440</v>
      </c>
      <c r="D151" s="229">
        <v>440</v>
      </c>
      <c r="E151" s="229">
        <v>440</v>
      </c>
      <c r="F151" s="229"/>
      <c r="G151" s="229"/>
      <c r="H151" s="229"/>
      <c r="I151" s="229"/>
      <c r="J151" s="229"/>
      <c r="K151" s="229"/>
      <c r="L151" s="229"/>
      <c r="M151" s="229"/>
      <c r="N151" s="232"/>
    </row>
    <row r="152" hidden="1" spans="1:14">
      <c r="A152" s="37"/>
      <c r="B152" s="230" t="s">
        <v>1039</v>
      </c>
      <c r="C152" s="229">
        <v>5.862772</v>
      </c>
      <c r="D152" s="229">
        <v>5.862772</v>
      </c>
      <c r="E152" s="229">
        <v>5.862772</v>
      </c>
      <c r="F152" s="229"/>
      <c r="G152" s="229"/>
      <c r="H152" s="229"/>
      <c r="I152" s="229"/>
      <c r="J152" s="229"/>
      <c r="K152" s="229"/>
      <c r="L152" s="229"/>
      <c r="M152" s="229"/>
      <c r="N152" s="232"/>
    </row>
    <row r="153" spans="1:14">
      <c r="A153" s="391" t="s">
        <v>606</v>
      </c>
      <c r="B153" s="230" t="s">
        <v>607</v>
      </c>
      <c r="C153" s="229">
        <v>298.833714</v>
      </c>
      <c r="D153" s="229">
        <v>298.833714</v>
      </c>
      <c r="E153" s="229">
        <v>298.833714</v>
      </c>
      <c r="F153" s="229"/>
      <c r="G153" s="229"/>
      <c r="H153" s="229"/>
      <c r="I153" s="229"/>
      <c r="J153" s="229"/>
      <c r="K153" s="229"/>
      <c r="L153" s="229"/>
      <c r="M153" s="229"/>
      <c r="N153" s="233" t="s">
        <v>578</v>
      </c>
    </row>
    <row r="154" hidden="1" spans="1:14">
      <c r="A154" s="37"/>
      <c r="B154" s="230" t="s">
        <v>1033</v>
      </c>
      <c r="C154" s="229">
        <v>52.352884</v>
      </c>
      <c r="D154" s="229">
        <v>52.352884</v>
      </c>
      <c r="E154" s="229">
        <v>52.352884</v>
      </c>
      <c r="F154" s="229"/>
      <c r="G154" s="229"/>
      <c r="H154" s="229"/>
      <c r="I154" s="229"/>
      <c r="J154" s="229"/>
      <c r="K154" s="229"/>
      <c r="L154" s="229"/>
      <c r="M154" s="229"/>
      <c r="N154" s="232"/>
    </row>
    <row r="155" hidden="1" spans="1:14">
      <c r="A155" s="37"/>
      <c r="B155" s="230" t="s">
        <v>1037</v>
      </c>
      <c r="C155" s="229">
        <v>0.14568</v>
      </c>
      <c r="D155" s="229">
        <v>0.14568</v>
      </c>
      <c r="E155" s="229">
        <v>0.14568</v>
      </c>
      <c r="F155" s="229"/>
      <c r="G155" s="229"/>
      <c r="H155" s="229"/>
      <c r="I155" s="229"/>
      <c r="J155" s="229"/>
      <c r="K155" s="229"/>
      <c r="L155" s="229"/>
      <c r="M155" s="229"/>
      <c r="N155" s="232"/>
    </row>
    <row r="156" hidden="1" spans="1:14">
      <c r="A156" s="37"/>
      <c r="B156" s="230" t="s">
        <v>1045</v>
      </c>
      <c r="C156" s="229">
        <v>5.8272</v>
      </c>
      <c r="D156" s="229">
        <v>5.8272</v>
      </c>
      <c r="E156" s="229">
        <v>5.8272</v>
      </c>
      <c r="F156" s="229"/>
      <c r="G156" s="229"/>
      <c r="H156" s="229"/>
      <c r="I156" s="229"/>
      <c r="J156" s="229"/>
      <c r="K156" s="229"/>
      <c r="L156" s="229"/>
      <c r="M156" s="229"/>
      <c r="N156" s="232"/>
    </row>
    <row r="157" hidden="1" spans="1:14">
      <c r="A157" s="37"/>
      <c r="B157" s="230" t="s">
        <v>1039</v>
      </c>
      <c r="C157" s="229">
        <v>3.873473</v>
      </c>
      <c r="D157" s="229">
        <v>3.873473</v>
      </c>
      <c r="E157" s="229">
        <v>3.873473</v>
      </c>
      <c r="F157" s="229"/>
      <c r="G157" s="229"/>
      <c r="H157" s="229"/>
      <c r="I157" s="229"/>
      <c r="J157" s="229"/>
      <c r="K157" s="229"/>
      <c r="L157" s="229"/>
      <c r="M157" s="229"/>
      <c r="N157" s="232"/>
    </row>
    <row r="158" hidden="1" spans="1:14">
      <c r="A158" s="37"/>
      <c r="B158" s="230" t="s">
        <v>1035</v>
      </c>
      <c r="C158" s="229">
        <v>0.2</v>
      </c>
      <c r="D158" s="229">
        <v>0.2</v>
      </c>
      <c r="E158" s="229">
        <v>0.2</v>
      </c>
      <c r="F158" s="229"/>
      <c r="G158" s="229"/>
      <c r="H158" s="229"/>
      <c r="I158" s="229"/>
      <c r="J158" s="229"/>
      <c r="K158" s="229"/>
      <c r="L158" s="229"/>
      <c r="M158" s="229"/>
      <c r="N158" s="232"/>
    </row>
    <row r="159" hidden="1" spans="1:14">
      <c r="A159" s="37"/>
      <c r="B159" s="230" t="s">
        <v>1036</v>
      </c>
      <c r="C159" s="229">
        <v>23.240837</v>
      </c>
      <c r="D159" s="229">
        <v>23.240837</v>
      </c>
      <c r="E159" s="229">
        <v>23.240837</v>
      </c>
      <c r="F159" s="229"/>
      <c r="G159" s="229"/>
      <c r="H159" s="229"/>
      <c r="I159" s="229"/>
      <c r="J159" s="229"/>
      <c r="K159" s="229"/>
      <c r="L159" s="229"/>
      <c r="M159" s="229"/>
      <c r="N159" s="232"/>
    </row>
    <row r="160" hidden="1" spans="1:14">
      <c r="A160" s="37"/>
      <c r="B160" s="230" t="s">
        <v>1029</v>
      </c>
      <c r="C160" s="229">
        <v>19.52</v>
      </c>
      <c r="D160" s="229">
        <v>19.52</v>
      </c>
      <c r="E160" s="229">
        <v>19.52</v>
      </c>
      <c r="F160" s="229"/>
      <c r="G160" s="229"/>
      <c r="H160" s="229"/>
      <c r="I160" s="229"/>
      <c r="J160" s="229"/>
      <c r="K160" s="229"/>
      <c r="L160" s="229"/>
      <c r="M160" s="229"/>
      <c r="N160" s="232"/>
    </row>
    <row r="161" hidden="1" spans="1:14">
      <c r="A161" s="37"/>
      <c r="B161" s="230" t="s">
        <v>1032</v>
      </c>
      <c r="C161" s="229">
        <v>193.67364</v>
      </c>
      <c r="D161" s="229">
        <v>193.67364</v>
      </c>
      <c r="E161" s="229">
        <v>193.67364</v>
      </c>
      <c r="F161" s="229"/>
      <c r="G161" s="229"/>
      <c r="H161" s="229"/>
      <c r="I161" s="229"/>
      <c r="J161" s="229"/>
      <c r="K161" s="229"/>
      <c r="L161" s="229"/>
      <c r="M161" s="229"/>
      <c r="N161" s="232"/>
    </row>
    <row r="162" spans="1:14">
      <c r="A162" s="391" t="s">
        <v>608</v>
      </c>
      <c r="B162" s="231" t="s">
        <v>609</v>
      </c>
      <c r="C162" s="229">
        <v>514.467822</v>
      </c>
      <c r="D162" s="229">
        <v>514.467822</v>
      </c>
      <c r="E162" s="229">
        <v>514.467822</v>
      </c>
      <c r="F162" s="229"/>
      <c r="G162" s="229"/>
      <c r="H162" s="229"/>
      <c r="I162" s="229"/>
      <c r="J162" s="229"/>
      <c r="K162" s="229"/>
      <c r="L162" s="229"/>
      <c r="M162" s="229"/>
      <c r="N162" s="233" t="s">
        <v>578</v>
      </c>
    </row>
    <row r="163" hidden="1" spans="1:14">
      <c r="A163" s="37"/>
      <c r="B163" s="230" t="s">
        <v>1035</v>
      </c>
      <c r="C163" s="229">
        <v>1</v>
      </c>
      <c r="D163" s="229">
        <v>1</v>
      </c>
      <c r="E163" s="229">
        <v>1</v>
      </c>
      <c r="F163" s="229"/>
      <c r="G163" s="229"/>
      <c r="H163" s="229"/>
      <c r="I163" s="229"/>
      <c r="J163" s="229"/>
      <c r="K163" s="229"/>
      <c r="L163" s="229"/>
      <c r="M163" s="229"/>
      <c r="N163" s="232"/>
    </row>
    <row r="164" hidden="1" spans="1:14">
      <c r="A164" s="37"/>
      <c r="B164" s="230" t="s">
        <v>1037</v>
      </c>
      <c r="C164" s="229">
        <v>3.31071</v>
      </c>
      <c r="D164" s="229">
        <v>3.31071</v>
      </c>
      <c r="E164" s="229">
        <v>3.31071</v>
      </c>
      <c r="F164" s="229"/>
      <c r="G164" s="229"/>
      <c r="H164" s="229"/>
      <c r="I164" s="229"/>
      <c r="J164" s="229"/>
      <c r="K164" s="229"/>
      <c r="L164" s="229"/>
      <c r="M164" s="229"/>
      <c r="N164" s="232"/>
    </row>
    <row r="165" hidden="1" spans="1:14">
      <c r="A165" s="37"/>
      <c r="B165" s="230" t="s">
        <v>1028</v>
      </c>
      <c r="C165" s="229">
        <v>28.3644</v>
      </c>
      <c r="D165" s="229">
        <v>28.3644</v>
      </c>
      <c r="E165" s="229">
        <v>28.3644</v>
      </c>
      <c r="F165" s="229"/>
      <c r="G165" s="229"/>
      <c r="H165" s="229"/>
      <c r="I165" s="229"/>
      <c r="J165" s="229"/>
      <c r="K165" s="229"/>
      <c r="L165" s="229"/>
      <c r="M165" s="229"/>
      <c r="N165" s="232"/>
    </row>
    <row r="166" hidden="1" spans="1:14">
      <c r="A166" s="37"/>
      <c r="B166" s="230" t="s">
        <v>1039</v>
      </c>
      <c r="C166" s="229">
        <v>6.306846</v>
      </c>
      <c r="D166" s="229">
        <v>6.306846</v>
      </c>
      <c r="E166" s="229">
        <v>6.306846</v>
      </c>
      <c r="F166" s="229"/>
      <c r="G166" s="229"/>
      <c r="H166" s="229"/>
      <c r="I166" s="229"/>
      <c r="J166" s="229"/>
      <c r="K166" s="229"/>
      <c r="L166" s="229"/>
      <c r="M166" s="229"/>
      <c r="N166" s="232"/>
    </row>
    <row r="167" hidden="1" spans="1:14">
      <c r="A167" s="37"/>
      <c r="B167" s="230" t="s">
        <v>1036</v>
      </c>
      <c r="C167" s="229">
        <v>37.841076</v>
      </c>
      <c r="D167" s="229">
        <v>37.841076</v>
      </c>
      <c r="E167" s="229">
        <v>37.841076</v>
      </c>
      <c r="F167" s="229"/>
      <c r="G167" s="229"/>
      <c r="H167" s="229"/>
      <c r="I167" s="229"/>
      <c r="J167" s="229"/>
      <c r="K167" s="229"/>
      <c r="L167" s="229"/>
      <c r="M167" s="229"/>
      <c r="N167" s="232"/>
    </row>
    <row r="168" hidden="1" spans="1:14">
      <c r="A168" s="37"/>
      <c r="B168" s="230" t="s">
        <v>1033</v>
      </c>
      <c r="C168" s="229">
        <v>89.56849</v>
      </c>
      <c r="D168" s="229">
        <v>89.56849</v>
      </c>
      <c r="E168" s="229">
        <v>89.56849</v>
      </c>
      <c r="F168" s="229"/>
      <c r="G168" s="229"/>
      <c r="H168" s="229"/>
      <c r="I168" s="229"/>
      <c r="J168" s="229"/>
      <c r="K168" s="229"/>
      <c r="L168" s="229"/>
      <c r="M168" s="229"/>
      <c r="N168" s="232"/>
    </row>
    <row r="169" hidden="1" spans="1:14">
      <c r="A169" s="37"/>
      <c r="B169" s="230" t="s">
        <v>1032</v>
      </c>
      <c r="C169" s="229">
        <v>315.3423</v>
      </c>
      <c r="D169" s="229">
        <v>315.3423</v>
      </c>
      <c r="E169" s="229">
        <v>315.3423</v>
      </c>
      <c r="F169" s="229"/>
      <c r="G169" s="229"/>
      <c r="H169" s="229"/>
      <c r="I169" s="229"/>
      <c r="J169" s="229"/>
      <c r="K169" s="229"/>
      <c r="L169" s="229"/>
      <c r="M169" s="229"/>
      <c r="N169" s="232"/>
    </row>
    <row r="170" hidden="1" spans="1:14">
      <c r="A170" s="37"/>
      <c r="B170" s="230" t="s">
        <v>1029</v>
      </c>
      <c r="C170" s="229">
        <v>31.72</v>
      </c>
      <c r="D170" s="229">
        <v>31.72</v>
      </c>
      <c r="E170" s="229">
        <v>31.72</v>
      </c>
      <c r="F170" s="229"/>
      <c r="G170" s="229"/>
      <c r="H170" s="229"/>
      <c r="I170" s="229"/>
      <c r="J170" s="229"/>
      <c r="K170" s="229"/>
      <c r="L170" s="229"/>
      <c r="M170" s="229"/>
      <c r="N170" s="232"/>
    </row>
    <row r="171" hidden="1" spans="1:14">
      <c r="A171" s="37"/>
      <c r="B171" s="230" t="s">
        <v>1034</v>
      </c>
      <c r="C171" s="229">
        <v>1.014</v>
      </c>
      <c r="D171" s="229">
        <v>1.014</v>
      </c>
      <c r="E171" s="229">
        <v>1.014</v>
      </c>
      <c r="F171" s="229"/>
      <c r="G171" s="229"/>
      <c r="H171" s="229"/>
      <c r="I171" s="229"/>
      <c r="J171" s="229"/>
      <c r="K171" s="229"/>
      <c r="L171" s="229"/>
      <c r="M171" s="229"/>
      <c r="N171" s="232"/>
    </row>
    <row r="172" spans="1:14">
      <c r="A172" s="391" t="s">
        <v>610</v>
      </c>
      <c r="B172" s="231" t="s">
        <v>611</v>
      </c>
      <c r="C172" s="229">
        <v>833.005727</v>
      </c>
      <c r="D172" s="229">
        <v>833.005727</v>
      </c>
      <c r="E172" s="229">
        <v>833.005727</v>
      </c>
      <c r="F172" s="229"/>
      <c r="G172" s="229"/>
      <c r="H172" s="229"/>
      <c r="I172" s="229"/>
      <c r="J172" s="229"/>
      <c r="K172" s="229"/>
      <c r="L172" s="229"/>
      <c r="M172" s="229"/>
      <c r="N172" s="233" t="s">
        <v>578</v>
      </c>
    </row>
    <row r="173" hidden="1" spans="1:14">
      <c r="A173" s="37"/>
      <c r="B173" s="230" t="s">
        <v>1037</v>
      </c>
      <c r="C173" s="229">
        <v>8.088864</v>
      </c>
      <c r="D173" s="229">
        <v>8.088864</v>
      </c>
      <c r="E173" s="229">
        <v>8.088864</v>
      </c>
      <c r="F173" s="229"/>
      <c r="G173" s="229"/>
      <c r="H173" s="229"/>
      <c r="I173" s="229"/>
      <c r="J173" s="229"/>
      <c r="K173" s="229"/>
      <c r="L173" s="229"/>
      <c r="M173" s="229"/>
      <c r="N173" s="232"/>
    </row>
    <row r="174" hidden="1" spans="1:14">
      <c r="A174" s="37"/>
      <c r="B174" s="230" t="s">
        <v>1032</v>
      </c>
      <c r="C174" s="229">
        <v>474.1727</v>
      </c>
      <c r="D174" s="229">
        <v>474.1727</v>
      </c>
      <c r="E174" s="229">
        <v>474.1727</v>
      </c>
      <c r="F174" s="229"/>
      <c r="G174" s="229"/>
      <c r="H174" s="229"/>
      <c r="I174" s="229"/>
      <c r="J174" s="229"/>
      <c r="K174" s="229"/>
      <c r="L174" s="229"/>
      <c r="M174" s="229"/>
      <c r="N174" s="232"/>
    </row>
    <row r="175" hidden="1" spans="1:14">
      <c r="A175" s="37"/>
      <c r="B175" s="230" t="s">
        <v>1028</v>
      </c>
      <c r="C175" s="229">
        <v>70.7544</v>
      </c>
      <c r="D175" s="229">
        <v>70.7544</v>
      </c>
      <c r="E175" s="229">
        <v>70.7544</v>
      </c>
      <c r="F175" s="229"/>
      <c r="G175" s="229"/>
      <c r="H175" s="229"/>
      <c r="I175" s="229"/>
      <c r="J175" s="229"/>
      <c r="K175" s="229"/>
      <c r="L175" s="229"/>
      <c r="M175" s="229"/>
      <c r="N175" s="232"/>
    </row>
    <row r="176" hidden="1" spans="1:14">
      <c r="A176" s="37"/>
      <c r="B176" s="230" t="s">
        <v>1039</v>
      </c>
      <c r="C176" s="229">
        <v>9.483454</v>
      </c>
      <c r="D176" s="229">
        <v>9.483454</v>
      </c>
      <c r="E176" s="229">
        <v>9.483454</v>
      </c>
      <c r="F176" s="229"/>
      <c r="G176" s="229"/>
      <c r="H176" s="229"/>
      <c r="I176" s="229"/>
      <c r="J176" s="229"/>
      <c r="K176" s="229"/>
      <c r="L176" s="229"/>
      <c r="M176" s="229"/>
      <c r="N176" s="232"/>
    </row>
    <row r="177" hidden="1" spans="1:14">
      <c r="A177" s="37"/>
      <c r="B177" s="230" t="s">
        <v>1027</v>
      </c>
      <c r="C177" s="229">
        <v>6</v>
      </c>
      <c r="D177" s="229">
        <v>6</v>
      </c>
      <c r="E177" s="229">
        <v>6</v>
      </c>
      <c r="F177" s="229"/>
      <c r="G177" s="229"/>
      <c r="H177" s="229"/>
      <c r="I177" s="229"/>
      <c r="J177" s="229"/>
      <c r="K177" s="229"/>
      <c r="L177" s="229"/>
      <c r="M177" s="229"/>
      <c r="N177" s="232"/>
    </row>
    <row r="178" hidden="1" spans="1:14">
      <c r="A178" s="37"/>
      <c r="B178" s="230" t="s">
        <v>1029</v>
      </c>
      <c r="C178" s="229">
        <v>46.36</v>
      </c>
      <c r="D178" s="229">
        <v>46.36</v>
      </c>
      <c r="E178" s="229">
        <v>46.36</v>
      </c>
      <c r="F178" s="229"/>
      <c r="G178" s="229"/>
      <c r="H178" s="229"/>
      <c r="I178" s="229"/>
      <c r="J178" s="229"/>
      <c r="K178" s="229"/>
      <c r="L178" s="229"/>
      <c r="M178" s="229"/>
      <c r="N178" s="232"/>
    </row>
    <row r="179" hidden="1" spans="1:14">
      <c r="A179" s="37"/>
      <c r="B179" s="230" t="s">
        <v>1038</v>
      </c>
      <c r="C179" s="229">
        <v>0.55</v>
      </c>
      <c r="D179" s="229">
        <v>0.55</v>
      </c>
      <c r="E179" s="229">
        <v>0.55</v>
      </c>
      <c r="F179" s="229"/>
      <c r="G179" s="229"/>
      <c r="H179" s="229"/>
      <c r="I179" s="229"/>
      <c r="J179" s="229"/>
      <c r="K179" s="229"/>
      <c r="L179" s="229"/>
      <c r="M179" s="229"/>
      <c r="N179" s="232"/>
    </row>
    <row r="180" hidden="1" spans="1:14">
      <c r="A180" s="37"/>
      <c r="B180" s="230" t="s">
        <v>1031</v>
      </c>
      <c r="C180" s="229">
        <v>17.706</v>
      </c>
      <c r="D180" s="229">
        <v>17.706</v>
      </c>
      <c r="E180" s="229">
        <v>17.706</v>
      </c>
      <c r="F180" s="229"/>
      <c r="G180" s="229"/>
      <c r="H180" s="229"/>
      <c r="I180" s="229"/>
      <c r="J180" s="229"/>
      <c r="K180" s="229"/>
      <c r="L180" s="229"/>
      <c r="M180" s="229"/>
      <c r="N180" s="232"/>
    </row>
    <row r="181" hidden="1" spans="1:14">
      <c r="A181" s="37"/>
      <c r="B181" s="230" t="s">
        <v>1035</v>
      </c>
      <c r="C181" s="229">
        <v>2.38</v>
      </c>
      <c r="D181" s="229">
        <v>2.38</v>
      </c>
      <c r="E181" s="229">
        <v>2.38</v>
      </c>
      <c r="F181" s="229"/>
      <c r="G181" s="229"/>
      <c r="H181" s="229"/>
      <c r="I181" s="229"/>
      <c r="J181" s="229"/>
      <c r="K181" s="229"/>
      <c r="L181" s="229"/>
      <c r="M181" s="229"/>
      <c r="N181" s="232"/>
    </row>
    <row r="182" hidden="1" spans="1:14">
      <c r="A182" s="37"/>
      <c r="B182" s="230" t="s">
        <v>1036</v>
      </c>
      <c r="C182" s="229">
        <v>56.900724</v>
      </c>
      <c r="D182" s="229">
        <v>56.900724</v>
      </c>
      <c r="E182" s="229">
        <v>56.900724</v>
      </c>
      <c r="F182" s="229"/>
      <c r="G182" s="229"/>
      <c r="H182" s="229"/>
      <c r="I182" s="229"/>
      <c r="J182" s="229"/>
      <c r="K182" s="229"/>
      <c r="L182" s="229"/>
      <c r="M182" s="229"/>
      <c r="N182" s="232"/>
    </row>
    <row r="183" hidden="1" spans="1:14">
      <c r="A183" s="37"/>
      <c r="B183" s="230" t="s">
        <v>1033</v>
      </c>
      <c r="C183" s="229">
        <v>140.609585</v>
      </c>
      <c r="D183" s="229">
        <v>140.609585</v>
      </c>
      <c r="E183" s="229">
        <v>140.609585</v>
      </c>
      <c r="F183" s="229"/>
      <c r="G183" s="229"/>
      <c r="H183" s="229"/>
      <c r="I183" s="229"/>
      <c r="J183" s="229"/>
      <c r="K183" s="229"/>
      <c r="L183" s="229"/>
      <c r="M183" s="229"/>
      <c r="N183" s="232"/>
    </row>
    <row r="184" spans="1:14">
      <c r="A184" s="391" t="s">
        <v>612</v>
      </c>
      <c r="B184" s="231" t="s">
        <v>613</v>
      </c>
      <c r="C184" s="229">
        <v>3004.035745</v>
      </c>
      <c r="D184" s="229">
        <v>3004.035745</v>
      </c>
      <c r="E184" s="229">
        <v>3004.035745</v>
      </c>
      <c r="F184" s="229"/>
      <c r="G184" s="229"/>
      <c r="H184" s="229"/>
      <c r="I184" s="229"/>
      <c r="J184" s="229"/>
      <c r="K184" s="229"/>
      <c r="L184" s="229"/>
      <c r="M184" s="229"/>
      <c r="N184" s="233" t="s">
        <v>578</v>
      </c>
    </row>
    <row r="185" hidden="1" spans="1:14">
      <c r="A185" s="37"/>
      <c r="B185" s="230" t="s">
        <v>1038</v>
      </c>
      <c r="C185" s="229">
        <v>0.08</v>
      </c>
      <c r="D185" s="229">
        <v>0.08</v>
      </c>
      <c r="E185" s="229">
        <v>0.08</v>
      </c>
      <c r="F185" s="229"/>
      <c r="G185" s="229"/>
      <c r="H185" s="229"/>
      <c r="I185" s="229"/>
      <c r="J185" s="229"/>
      <c r="K185" s="229"/>
      <c r="L185" s="229"/>
      <c r="M185" s="229"/>
      <c r="N185" s="232"/>
    </row>
    <row r="186" hidden="1" spans="1:14">
      <c r="A186" s="37"/>
      <c r="B186" s="230" t="s">
        <v>1034</v>
      </c>
      <c r="C186" s="229">
        <v>10.14</v>
      </c>
      <c r="D186" s="229">
        <v>10.14</v>
      </c>
      <c r="E186" s="229">
        <v>10.14</v>
      </c>
      <c r="F186" s="229"/>
      <c r="G186" s="229"/>
      <c r="H186" s="229"/>
      <c r="I186" s="229"/>
      <c r="J186" s="229"/>
      <c r="K186" s="229"/>
      <c r="L186" s="229"/>
      <c r="M186" s="229"/>
      <c r="N186" s="232"/>
    </row>
    <row r="187" hidden="1" spans="1:14">
      <c r="A187" s="37"/>
      <c r="B187" s="230" t="s">
        <v>1029</v>
      </c>
      <c r="C187" s="229">
        <v>170.8</v>
      </c>
      <c r="D187" s="229">
        <v>170.8</v>
      </c>
      <c r="E187" s="229">
        <v>170.8</v>
      </c>
      <c r="F187" s="229"/>
      <c r="G187" s="229"/>
      <c r="H187" s="229"/>
      <c r="I187" s="229"/>
      <c r="J187" s="229"/>
      <c r="K187" s="229"/>
      <c r="L187" s="229"/>
      <c r="M187" s="229"/>
      <c r="N187" s="232"/>
    </row>
    <row r="188" hidden="1" spans="1:14">
      <c r="A188" s="37"/>
      <c r="B188" s="230" t="s">
        <v>1037</v>
      </c>
      <c r="C188" s="229">
        <v>12.05937</v>
      </c>
      <c r="D188" s="229">
        <v>12.05937</v>
      </c>
      <c r="E188" s="229">
        <v>12.05937</v>
      </c>
      <c r="F188" s="229"/>
      <c r="G188" s="229"/>
      <c r="H188" s="229"/>
      <c r="I188" s="229"/>
      <c r="J188" s="229"/>
      <c r="K188" s="229"/>
      <c r="L188" s="229"/>
      <c r="M188" s="229"/>
      <c r="N188" s="232"/>
    </row>
    <row r="189" hidden="1" spans="1:14">
      <c r="A189" s="37"/>
      <c r="B189" s="230" t="s">
        <v>1033</v>
      </c>
      <c r="C189" s="229">
        <v>524.685187</v>
      </c>
      <c r="D189" s="229">
        <v>524.685187</v>
      </c>
      <c r="E189" s="229">
        <v>524.685187</v>
      </c>
      <c r="F189" s="229"/>
      <c r="G189" s="229"/>
      <c r="H189" s="229"/>
      <c r="I189" s="229"/>
      <c r="J189" s="229"/>
      <c r="K189" s="229"/>
      <c r="L189" s="229"/>
      <c r="M189" s="229"/>
      <c r="N189" s="232"/>
    </row>
    <row r="190" hidden="1" spans="1:14">
      <c r="A190" s="37"/>
      <c r="B190" s="230" t="s">
        <v>1035</v>
      </c>
      <c r="C190" s="229">
        <v>9.36</v>
      </c>
      <c r="D190" s="229">
        <v>9.36</v>
      </c>
      <c r="E190" s="229">
        <v>9.36</v>
      </c>
      <c r="F190" s="229"/>
      <c r="G190" s="229"/>
      <c r="H190" s="229"/>
      <c r="I190" s="229"/>
      <c r="J190" s="229"/>
      <c r="K190" s="229"/>
      <c r="L190" s="229"/>
      <c r="M190" s="229"/>
      <c r="N190" s="232"/>
    </row>
    <row r="191" hidden="1" spans="1:14">
      <c r="A191" s="37"/>
      <c r="B191" s="230" t="s">
        <v>1028</v>
      </c>
      <c r="C191" s="229">
        <v>277.5588</v>
      </c>
      <c r="D191" s="229">
        <v>277.5588</v>
      </c>
      <c r="E191" s="229">
        <v>277.5588</v>
      </c>
      <c r="F191" s="229"/>
      <c r="G191" s="229"/>
      <c r="H191" s="229"/>
      <c r="I191" s="229"/>
      <c r="J191" s="229"/>
      <c r="K191" s="229"/>
      <c r="L191" s="229"/>
      <c r="M191" s="229"/>
      <c r="N191" s="232"/>
    </row>
    <row r="192" hidden="1" spans="1:14">
      <c r="A192" s="37"/>
      <c r="B192" s="230" t="s">
        <v>1036</v>
      </c>
      <c r="C192" s="229">
        <v>210.458146</v>
      </c>
      <c r="D192" s="229">
        <v>210.458146</v>
      </c>
      <c r="E192" s="229">
        <v>210.458146</v>
      </c>
      <c r="F192" s="229"/>
      <c r="G192" s="229"/>
      <c r="H192" s="229"/>
      <c r="I192" s="229"/>
      <c r="J192" s="229"/>
      <c r="K192" s="229"/>
      <c r="L192" s="229"/>
      <c r="M192" s="229"/>
      <c r="N192" s="232"/>
    </row>
    <row r="193" hidden="1" spans="1:14">
      <c r="A193" s="37"/>
      <c r="B193" s="230" t="s">
        <v>1039</v>
      </c>
      <c r="C193" s="229">
        <v>35.076358</v>
      </c>
      <c r="D193" s="229">
        <v>35.076358</v>
      </c>
      <c r="E193" s="229">
        <v>35.076358</v>
      </c>
      <c r="F193" s="229"/>
      <c r="G193" s="229"/>
      <c r="H193" s="229"/>
      <c r="I193" s="229"/>
      <c r="J193" s="229"/>
      <c r="K193" s="229"/>
      <c r="L193" s="229"/>
      <c r="M193" s="229"/>
      <c r="N193" s="232"/>
    </row>
    <row r="194" hidden="1" spans="1:14">
      <c r="A194" s="37"/>
      <c r="B194" s="230" t="s">
        <v>1032</v>
      </c>
      <c r="C194" s="229">
        <v>1753.817884</v>
      </c>
      <c r="D194" s="229">
        <v>1753.817884</v>
      </c>
      <c r="E194" s="229">
        <v>1753.817884</v>
      </c>
      <c r="F194" s="229"/>
      <c r="G194" s="229"/>
      <c r="H194" s="229"/>
      <c r="I194" s="229"/>
      <c r="J194" s="229"/>
      <c r="K194" s="229"/>
      <c r="L194" s="229"/>
      <c r="M194" s="229"/>
      <c r="N194" s="232"/>
    </row>
    <row r="195" spans="1:14">
      <c r="A195" s="391" t="s">
        <v>614</v>
      </c>
      <c r="B195" s="231" t="s">
        <v>615</v>
      </c>
      <c r="C195" s="229">
        <v>16096.02942</v>
      </c>
      <c r="D195" s="229">
        <v>16096.02942</v>
      </c>
      <c r="E195" s="229">
        <v>16096.02942</v>
      </c>
      <c r="F195" s="229"/>
      <c r="G195" s="229"/>
      <c r="H195" s="229"/>
      <c r="I195" s="229"/>
      <c r="J195" s="229"/>
      <c r="K195" s="229"/>
      <c r="L195" s="229"/>
      <c r="M195" s="229"/>
      <c r="N195" s="233" t="s">
        <v>578</v>
      </c>
    </row>
    <row r="196" hidden="1" spans="1:14">
      <c r="A196" s="37"/>
      <c r="B196" s="230" t="s">
        <v>1033</v>
      </c>
      <c r="C196" s="229">
        <v>2495.307545</v>
      </c>
      <c r="D196" s="229">
        <v>2495.307545</v>
      </c>
      <c r="E196" s="229">
        <v>2495.307545</v>
      </c>
      <c r="F196" s="229"/>
      <c r="G196" s="229"/>
      <c r="H196" s="229"/>
      <c r="I196" s="229"/>
      <c r="J196" s="229"/>
      <c r="K196" s="229"/>
      <c r="L196" s="229"/>
      <c r="M196" s="229"/>
      <c r="N196" s="232"/>
    </row>
    <row r="197" hidden="1" spans="1:14">
      <c r="A197" s="37"/>
      <c r="B197" s="230" t="s">
        <v>1031</v>
      </c>
      <c r="C197" s="229">
        <v>404.26</v>
      </c>
      <c r="D197" s="229">
        <v>404.26</v>
      </c>
      <c r="E197" s="229">
        <v>404.26</v>
      </c>
      <c r="F197" s="229"/>
      <c r="G197" s="229"/>
      <c r="H197" s="229"/>
      <c r="I197" s="229"/>
      <c r="J197" s="229"/>
      <c r="K197" s="229"/>
      <c r="L197" s="229"/>
      <c r="M197" s="229"/>
      <c r="N197" s="232"/>
    </row>
    <row r="198" hidden="1" spans="1:14">
      <c r="A198" s="37"/>
      <c r="B198" s="230" t="s">
        <v>1037</v>
      </c>
      <c r="C198" s="229">
        <v>51.928656</v>
      </c>
      <c r="D198" s="229">
        <v>51.928656</v>
      </c>
      <c r="E198" s="229">
        <v>51.928656</v>
      </c>
      <c r="F198" s="229"/>
      <c r="G198" s="229"/>
      <c r="H198" s="229"/>
      <c r="I198" s="229"/>
      <c r="J198" s="229"/>
      <c r="K198" s="229"/>
      <c r="L198" s="229"/>
      <c r="M198" s="229"/>
      <c r="N198" s="232"/>
    </row>
    <row r="199" hidden="1" spans="1:14">
      <c r="A199" s="37"/>
      <c r="B199" s="230" t="s">
        <v>1027</v>
      </c>
      <c r="C199" s="229">
        <v>56</v>
      </c>
      <c r="D199" s="229">
        <v>56</v>
      </c>
      <c r="E199" s="229">
        <v>56</v>
      </c>
      <c r="F199" s="229"/>
      <c r="G199" s="229"/>
      <c r="H199" s="229"/>
      <c r="I199" s="229"/>
      <c r="J199" s="229"/>
      <c r="K199" s="229"/>
      <c r="L199" s="229"/>
      <c r="M199" s="229"/>
      <c r="N199" s="232"/>
    </row>
    <row r="200" hidden="1" spans="1:14">
      <c r="A200" s="37"/>
      <c r="B200" s="230" t="s">
        <v>1036</v>
      </c>
      <c r="C200" s="229">
        <v>1114.674279</v>
      </c>
      <c r="D200" s="229">
        <v>1114.674279</v>
      </c>
      <c r="E200" s="229">
        <v>1114.674279</v>
      </c>
      <c r="F200" s="229"/>
      <c r="G200" s="229"/>
      <c r="H200" s="229"/>
      <c r="I200" s="229"/>
      <c r="J200" s="229"/>
      <c r="K200" s="229"/>
      <c r="L200" s="229"/>
      <c r="M200" s="229"/>
      <c r="N200" s="232"/>
    </row>
    <row r="201" hidden="1" spans="1:14">
      <c r="A201" s="37"/>
      <c r="B201" s="230" t="s">
        <v>1028</v>
      </c>
      <c r="C201" s="229">
        <v>644.6856</v>
      </c>
      <c r="D201" s="229">
        <v>644.6856</v>
      </c>
      <c r="E201" s="229">
        <v>644.6856</v>
      </c>
      <c r="F201" s="229"/>
      <c r="G201" s="229"/>
      <c r="H201" s="229"/>
      <c r="I201" s="229"/>
      <c r="J201" s="229"/>
      <c r="K201" s="229"/>
      <c r="L201" s="229"/>
      <c r="M201" s="229"/>
      <c r="N201" s="232"/>
    </row>
    <row r="202" hidden="1" spans="1:14">
      <c r="A202" s="37"/>
      <c r="B202" s="230" t="s">
        <v>1046</v>
      </c>
      <c r="C202" s="229">
        <v>27.278568</v>
      </c>
      <c r="D202" s="229">
        <v>27.278568</v>
      </c>
      <c r="E202" s="229">
        <v>27.278568</v>
      </c>
      <c r="F202" s="229"/>
      <c r="G202" s="229"/>
      <c r="H202" s="229"/>
      <c r="I202" s="229"/>
      <c r="J202" s="229"/>
      <c r="K202" s="229"/>
      <c r="L202" s="229"/>
      <c r="M202" s="229"/>
      <c r="N202" s="232"/>
    </row>
    <row r="203" hidden="1" spans="1:14">
      <c r="A203" s="37"/>
      <c r="B203" s="230" t="s">
        <v>1038</v>
      </c>
      <c r="C203" s="229">
        <v>5.59</v>
      </c>
      <c r="D203" s="229">
        <v>5.59</v>
      </c>
      <c r="E203" s="229">
        <v>5.59</v>
      </c>
      <c r="F203" s="229"/>
      <c r="G203" s="229"/>
      <c r="H203" s="229"/>
      <c r="I203" s="229"/>
      <c r="J203" s="229"/>
      <c r="K203" s="229"/>
      <c r="L203" s="229"/>
      <c r="M203" s="229"/>
      <c r="N203" s="232"/>
    </row>
    <row r="204" hidden="1" spans="1:14">
      <c r="A204" s="37"/>
      <c r="B204" s="230" t="s">
        <v>1032</v>
      </c>
      <c r="C204" s="229">
        <v>9288.952325</v>
      </c>
      <c r="D204" s="229">
        <v>9288.952325</v>
      </c>
      <c r="E204" s="229">
        <v>9288.952325</v>
      </c>
      <c r="F204" s="229"/>
      <c r="G204" s="229"/>
      <c r="H204" s="229"/>
      <c r="I204" s="229"/>
      <c r="J204" s="229"/>
      <c r="K204" s="229"/>
      <c r="L204" s="229"/>
      <c r="M204" s="229"/>
      <c r="N204" s="232"/>
    </row>
    <row r="205" hidden="1" spans="1:14">
      <c r="A205" s="37"/>
      <c r="B205" s="230" t="s">
        <v>1030</v>
      </c>
      <c r="C205" s="229">
        <v>400</v>
      </c>
      <c r="D205" s="229">
        <v>400</v>
      </c>
      <c r="E205" s="229">
        <v>400</v>
      </c>
      <c r="F205" s="229"/>
      <c r="G205" s="229"/>
      <c r="H205" s="229"/>
      <c r="I205" s="229"/>
      <c r="J205" s="229"/>
      <c r="K205" s="229"/>
      <c r="L205" s="229"/>
      <c r="M205" s="229"/>
      <c r="N205" s="232"/>
    </row>
    <row r="206" hidden="1" spans="1:14">
      <c r="A206" s="37"/>
      <c r="B206" s="230" t="s">
        <v>1034</v>
      </c>
      <c r="C206" s="229">
        <v>13.3614</v>
      </c>
      <c r="D206" s="229">
        <v>13.3614</v>
      </c>
      <c r="E206" s="229">
        <v>13.3614</v>
      </c>
      <c r="F206" s="229"/>
      <c r="G206" s="229"/>
      <c r="H206" s="229"/>
      <c r="I206" s="229"/>
      <c r="J206" s="229"/>
      <c r="K206" s="229"/>
      <c r="L206" s="229"/>
      <c r="M206" s="229"/>
      <c r="N206" s="232"/>
    </row>
    <row r="207" hidden="1" spans="1:14">
      <c r="A207" s="37"/>
      <c r="B207" s="230" t="s">
        <v>1035</v>
      </c>
      <c r="C207" s="229">
        <v>19.38</v>
      </c>
      <c r="D207" s="229">
        <v>19.38</v>
      </c>
      <c r="E207" s="229">
        <v>19.38</v>
      </c>
      <c r="F207" s="229"/>
      <c r="G207" s="229"/>
      <c r="H207" s="229"/>
      <c r="I207" s="229"/>
      <c r="J207" s="229"/>
      <c r="K207" s="229"/>
      <c r="L207" s="229"/>
      <c r="M207" s="229"/>
      <c r="N207" s="232"/>
    </row>
    <row r="208" hidden="1" spans="1:14">
      <c r="A208" s="37"/>
      <c r="B208" s="230" t="s">
        <v>1039</v>
      </c>
      <c r="C208" s="229">
        <v>185.779047</v>
      </c>
      <c r="D208" s="229">
        <v>185.779047</v>
      </c>
      <c r="E208" s="229">
        <v>185.779047</v>
      </c>
      <c r="F208" s="229"/>
      <c r="G208" s="229"/>
      <c r="H208" s="229"/>
      <c r="I208" s="229"/>
      <c r="J208" s="229"/>
      <c r="K208" s="229"/>
      <c r="L208" s="229"/>
      <c r="M208" s="229"/>
      <c r="N208" s="232"/>
    </row>
    <row r="209" hidden="1" spans="1:14">
      <c r="A209" s="37"/>
      <c r="B209" s="230" t="s">
        <v>1029</v>
      </c>
      <c r="C209" s="229">
        <v>1388.832</v>
      </c>
      <c r="D209" s="229">
        <v>1388.832</v>
      </c>
      <c r="E209" s="229">
        <v>1388.832</v>
      </c>
      <c r="F209" s="229"/>
      <c r="G209" s="229"/>
      <c r="H209" s="229"/>
      <c r="I209" s="229"/>
      <c r="J209" s="229"/>
      <c r="K209" s="229"/>
      <c r="L209" s="229"/>
      <c r="M209" s="229"/>
      <c r="N209" s="232"/>
    </row>
    <row r="210" spans="1:14">
      <c r="A210" s="391" t="s">
        <v>616</v>
      </c>
      <c r="B210" s="231" t="s">
        <v>617</v>
      </c>
      <c r="C210" s="229">
        <v>2014.189149</v>
      </c>
      <c r="D210" s="229">
        <v>2014.189149</v>
      </c>
      <c r="E210" s="229">
        <v>2014.189149</v>
      </c>
      <c r="F210" s="229"/>
      <c r="G210" s="229"/>
      <c r="H210" s="229"/>
      <c r="I210" s="229"/>
      <c r="J210" s="229"/>
      <c r="K210" s="229"/>
      <c r="L210" s="229"/>
      <c r="M210" s="229"/>
      <c r="N210" s="233" t="s">
        <v>578</v>
      </c>
    </row>
    <row r="211" hidden="1" spans="1:14">
      <c r="A211" s="37"/>
      <c r="B211" s="230" t="s">
        <v>1033</v>
      </c>
      <c r="C211" s="229">
        <v>323.275593</v>
      </c>
      <c r="D211" s="229">
        <v>323.275593</v>
      </c>
      <c r="E211" s="229">
        <v>323.275593</v>
      </c>
      <c r="F211" s="229"/>
      <c r="G211" s="229"/>
      <c r="H211" s="229"/>
      <c r="I211" s="229"/>
      <c r="J211" s="229"/>
      <c r="K211" s="229"/>
      <c r="L211" s="229"/>
      <c r="M211" s="229"/>
      <c r="N211" s="232"/>
    </row>
    <row r="212" hidden="1" spans="1:14">
      <c r="A212" s="37"/>
      <c r="B212" s="230" t="s">
        <v>1035</v>
      </c>
      <c r="C212" s="229">
        <v>4.48</v>
      </c>
      <c r="D212" s="229">
        <v>4.48</v>
      </c>
      <c r="E212" s="229">
        <v>4.48</v>
      </c>
      <c r="F212" s="229"/>
      <c r="G212" s="229"/>
      <c r="H212" s="229"/>
      <c r="I212" s="229"/>
      <c r="J212" s="229"/>
      <c r="K212" s="229"/>
      <c r="L212" s="229"/>
      <c r="M212" s="229"/>
      <c r="N212" s="232"/>
    </row>
    <row r="213" hidden="1" spans="1:14">
      <c r="A213" s="37"/>
      <c r="B213" s="230" t="s">
        <v>1036</v>
      </c>
      <c r="C213" s="229">
        <v>138.611894</v>
      </c>
      <c r="D213" s="229">
        <v>138.611894</v>
      </c>
      <c r="E213" s="229">
        <v>138.611894</v>
      </c>
      <c r="F213" s="229"/>
      <c r="G213" s="229"/>
      <c r="H213" s="229"/>
      <c r="I213" s="229"/>
      <c r="J213" s="229"/>
      <c r="K213" s="229"/>
      <c r="L213" s="229"/>
      <c r="M213" s="229"/>
      <c r="N213" s="232"/>
    </row>
    <row r="214" hidden="1" spans="1:14">
      <c r="A214" s="37"/>
      <c r="B214" s="230" t="s">
        <v>1027</v>
      </c>
      <c r="C214" s="229">
        <v>8</v>
      </c>
      <c r="D214" s="229">
        <v>8</v>
      </c>
      <c r="E214" s="229">
        <v>8</v>
      </c>
      <c r="F214" s="229"/>
      <c r="G214" s="229"/>
      <c r="H214" s="229"/>
      <c r="I214" s="229"/>
      <c r="J214" s="229"/>
      <c r="K214" s="229"/>
      <c r="L214" s="229"/>
      <c r="M214" s="229"/>
      <c r="N214" s="232"/>
    </row>
    <row r="215" hidden="1" spans="1:14">
      <c r="A215" s="37"/>
      <c r="B215" s="230" t="s">
        <v>1037</v>
      </c>
      <c r="C215" s="229">
        <v>19.72236</v>
      </c>
      <c r="D215" s="229">
        <v>19.72236</v>
      </c>
      <c r="E215" s="229">
        <v>19.72236</v>
      </c>
      <c r="F215" s="229"/>
      <c r="G215" s="229"/>
      <c r="H215" s="229"/>
      <c r="I215" s="229"/>
      <c r="J215" s="229"/>
      <c r="K215" s="229"/>
      <c r="L215" s="229"/>
      <c r="M215" s="229"/>
      <c r="N215" s="232"/>
    </row>
    <row r="216" hidden="1" spans="1:14">
      <c r="A216" s="37"/>
      <c r="B216" s="230" t="s">
        <v>1039</v>
      </c>
      <c r="C216" s="229">
        <v>23.101982</v>
      </c>
      <c r="D216" s="229">
        <v>23.101982</v>
      </c>
      <c r="E216" s="229">
        <v>23.101982</v>
      </c>
      <c r="F216" s="229"/>
      <c r="G216" s="229"/>
      <c r="H216" s="229"/>
      <c r="I216" s="229"/>
      <c r="J216" s="229"/>
      <c r="K216" s="229"/>
      <c r="L216" s="229"/>
      <c r="M216" s="229"/>
      <c r="N216" s="232"/>
    </row>
    <row r="217" hidden="1" spans="1:14">
      <c r="A217" s="37"/>
      <c r="B217" s="230" t="s">
        <v>1038</v>
      </c>
      <c r="C217" s="229">
        <v>0.114</v>
      </c>
      <c r="D217" s="229">
        <v>0.114</v>
      </c>
      <c r="E217" s="229">
        <v>0.114</v>
      </c>
      <c r="F217" s="229"/>
      <c r="G217" s="229"/>
      <c r="H217" s="229"/>
      <c r="I217" s="229"/>
      <c r="J217" s="229"/>
      <c r="K217" s="229"/>
      <c r="L217" s="229"/>
      <c r="M217" s="229"/>
      <c r="N217" s="232"/>
    </row>
    <row r="218" hidden="1" spans="1:14">
      <c r="A218" s="37"/>
      <c r="B218" s="230" t="s">
        <v>1028</v>
      </c>
      <c r="C218" s="229">
        <v>134.0832</v>
      </c>
      <c r="D218" s="229">
        <v>134.0832</v>
      </c>
      <c r="E218" s="229">
        <v>134.0832</v>
      </c>
      <c r="F218" s="229"/>
      <c r="G218" s="229"/>
      <c r="H218" s="229"/>
      <c r="I218" s="229"/>
      <c r="J218" s="229"/>
      <c r="K218" s="229"/>
      <c r="L218" s="229"/>
      <c r="M218" s="229"/>
      <c r="N218" s="232"/>
    </row>
    <row r="219" hidden="1" spans="1:14">
      <c r="A219" s="37"/>
      <c r="B219" s="230" t="s">
        <v>1029</v>
      </c>
      <c r="C219" s="229">
        <v>155.295</v>
      </c>
      <c r="D219" s="229">
        <v>155.295</v>
      </c>
      <c r="E219" s="229">
        <v>155.295</v>
      </c>
      <c r="F219" s="229"/>
      <c r="G219" s="229"/>
      <c r="H219" s="229"/>
      <c r="I219" s="229"/>
      <c r="J219" s="229"/>
      <c r="K219" s="229"/>
      <c r="L219" s="229"/>
      <c r="M219" s="229"/>
      <c r="N219" s="232"/>
    </row>
    <row r="220" hidden="1" spans="1:14">
      <c r="A220" s="37"/>
      <c r="B220" s="230" t="s">
        <v>1031</v>
      </c>
      <c r="C220" s="229">
        <v>38.208</v>
      </c>
      <c r="D220" s="229">
        <v>38.208</v>
      </c>
      <c r="E220" s="229">
        <v>38.208</v>
      </c>
      <c r="F220" s="229"/>
      <c r="G220" s="229"/>
      <c r="H220" s="229"/>
      <c r="I220" s="229"/>
      <c r="J220" s="229"/>
      <c r="K220" s="229"/>
      <c r="L220" s="229"/>
      <c r="M220" s="229"/>
      <c r="N220" s="232"/>
    </row>
    <row r="221" hidden="1" spans="1:14">
      <c r="A221" s="37"/>
      <c r="B221" s="230" t="s">
        <v>1032</v>
      </c>
      <c r="C221" s="229">
        <v>1155.09912</v>
      </c>
      <c r="D221" s="229">
        <v>1155.09912</v>
      </c>
      <c r="E221" s="229">
        <v>1155.09912</v>
      </c>
      <c r="F221" s="229"/>
      <c r="G221" s="229"/>
      <c r="H221" s="229"/>
      <c r="I221" s="229"/>
      <c r="J221" s="229"/>
      <c r="K221" s="229"/>
      <c r="L221" s="229"/>
      <c r="M221" s="229"/>
      <c r="N221" s="232"/>
    </row>
    <row r="222" hidden="1" spans="1:14">
      <c r="A222" s="37"/>
      <c r="B222" s="230" t="s">
        <v>1042</v>
      </c>
      <c r="C222" s="229">
        <v>0.17</v>
      </c>
      <c r="D222" s="229">
        <v>0.17</v>
      </c>
      <c r="E222" s="229">
        <v>0.17</v>
      </c>
      <c r="F222" s="229"/>
      <c r="G222" s="229"/>
      <c r="H222" s="229"/>
      <c r="I222" s="229"/>
      <c r="J222" s="229"/>
      <c r="K222" s="229"/>
      <c r="L222" s="229"/>
      <c r="M222" s="229"/>
      <c r="N222" s="232"/>
    </row>
    <row r="223" hidden="1" spans="1:14">
      <c r="A223" s="37"/>
      <c r="B223" s="230" t="s">
        <v>1034</v>
      </c>
      <c r="C223" s="229">
        <v>2.028</v>
      </c>
      <c r="D223" s="229">
        <v>2.028</v>
      </c>
      <c r="E223" s="229">
        <v>2.028</v>
      </c>
      <c r="F223" s="229"/>
      <c r="G223" s="229"/>
      <c r="H223" s="229"/>
      <c r="I223" s="229"/>
      <c r="J223" s="229"/>
      <c r="K223" s="229"/>
      <c r="L223" s="229"/>
      <c r="M223" s="229"/>
      <c r="N223" s="232"/>
    </row>
    <row r="224" hidden="1" spans="1:14">
      <c r="A224" s="37"/>
      <c r="B224" s="230" t="s">
        <v>1030</v>
      </c>
      <c r="C224" s="229">
        <v>12</v>
      </c>
      <c r="D224" s="229">
        <v>12</v>
      </c>
      <c r="E224" s="229">
        <v>12</v>
      </c>
      <c r="F224" s="229"/>
      <c r="G224" s="229"/>
      <c r="H224" s="229"/>
      <c r="I224" s="229"/>
      <c r="J224" s="229"/>
      <c r="K224" s="229"/>
      <c r="L224" s="229"/>
      <c r="M224" s="229"/>
      <c r="N224" s="232"/>
    </row>
    <row r="225" spans="1:14">
      <c r="A225" s="391" t="s">
        <v>618</v>
      </c>
      <c r="B225" s="231" t="s">
        <v>1047</v>
      </c>
      <c r="C225" s="229">
        <v>455.064334</v>
      </c>
      <c r="D225" s="229">
        <v>455.064334</v>
      </c>
      <c r="E225" s="229">
        <v>455.064334</v>
      </c>
      <c r="F225" s="229"/>
      <c r="G225" s="229"/>
      <c r="H225" s="229"/>
      <c r="I225" s="229"/>
      <c r="J225" s="229"/>
      <c r="K225" s="229"/>
      <c r="L225" s="229"/>
      <c r="M225" s="229"/>
      <c r="N225" s="233" t="s">
        <v>578</v>
      </c>
    </row>
    <row r="226" hidden="1" spans="1:14">
      <c r="A226" s="37"/>
      <c r="B226" s="230" t="s">
        <v>1035</v>
      </c>
      <c r="C226" s="229">
        <v>0.7</v>
      </c>
      <c r="D226" s="229">
        <v>0.7</v>
      </c>
      <c r="E226" s="229">
        <v>0.7</v>
      </c>
      <c r="F226" s="229"/>
      <c r="G226" s="229"/>
      <c r="H226" s="229"/>
      <c r="I226" s="229"/>
      <c r="J226" s="229"/>
      <c r="K226" s="229"/>
      <c r="L226" s="229"/>
      <c r="M226" s="229"/>
      <c r="N226" s="232"/>
    </row>
    <row r="227" hidden="1" spans="1:14">
      <c r="A227" s="37"/>
      <c r="B227" s="230" t="s">
        <v>1036</v>
      </c>
      <c r="C227" s="229">
        <v>31.871304</v>
      </c>
      <c r="D227" s="229">
        <v>31.871304</v>
      </c>
      <c r="E227" s="229">
        <v>31.871304</v>
      </c>
      <c r="F227" s="229"/>
      <c r="G227" s="229"/>
      <c r="H227" s="229"/>
      <c r="I227" s="229"/>
      <c r="J227" s="229"/>
      <c r="K227" s="229"/>
      <c r="L227" s="229"/>
      <c r="M227" s="229"/>
      <c r="N227" s="232"/>
    </row>
    <row r="228" hidden="1" spans="1:14">
      <c r="A228" s="37"/>
      <c r="B228" s="230" t="s">
        <v>1028</v>
      </c>
      <c r="C228" s="229">
        <v>24.0132</v>
      </c>
      <c r="D228" s="229">
        <v>24.0132</v>
      </c>
      <c r="E228" s="229">
        <v>24.0132</v>
      </c>
      <c r="F228" s="229"/>
      <c r="G228" s="229"/>
      <c r="H228" s="229"/>
      <c r="I228" s="229"/>
      <c r="J228" s="229"/>
      <c r="K228" s="229"/>
      <c r="L228" s="229"/>
      <c r="M228" s="229"/>
      <c r="N228" s="232"/>
    </row>
    <row r="229" hidden="1" spans="1:14">
      <c r="A229" s="37"/>
      <c r="B229" s="230" t="s">
        <v>1030</v>
      </c>
      <c r="C229" s="229">
        <v>4</v>
      </c>
      <c r="D229" s="229">
        <v>4</v>
      </c>
      <c r="E229" s="229">
        <v>4</v>
      </c>
      <c r="F229" s="229"/>
      <c r="G229" s="229"/>
      <c r="H229" s="229"/>
      <c r="I229" s="229"/>
      <c r="J229" s="229"/>
      <c r="K229" s="229"/>
      <c r="L229" s="229"/>
      <c r="M229" s="229"/>
      <c r="N229" s="232"/>
    </row>
    <row r="230" hidden="1" spans="1:14">
      <c r="A230" s="37"/>
      <c r="B230" s="230" t="s">
        <v>1031</v>
      </c>
      <c r="C230" s="229">
        <v>9.64</v>
      </c>
      <c r="D230" s="229">
        <v>9.64</v>
      </c>
      <c r="E230" s="229">
        <v>9.64</v>
      </c>
      <c r="F230" s="229"/>
      <c r="G230" s="229"/>
      <c r="H230" s="229"/>
      <c r="I230" s="229"/>
      <c r="J230" s="229"/>
      <c r="K230" s="229"/>
      <c r="L230" s="229"/>
      <c r="M230" s="229"/>
      <c r="N230" s="232"/>
    </row>
    <row r="231" hidden="1" spans="1:14">
      <c r="A231" s="37"/>
      <c r="B231" s="230" t="s">
        <v>1029</v>
      </c>
      <c r="C231" s="229">
        <v>27.4</v>
      </c>
      <c r="D231" s="229">
        <v>27.4</v>
      </c>
      <c r="E231" s="229">
        <v>27.4</v>
      </c>
      <c r="F231" s="229"/>
      <c r="G231" s="229"/>
      <c r="H231" s="229"/>
      <c r="I231" s="229"/>
      <c r="J231" s="229"/>
      <c r="K231" s="229"/>
      <c r="L231" s="229"/>
      <c r="M231" s="229"/>
      <c r="N231" s="232"/>
    </row>
    <row r="232" hidden="1" spans="1:14">
      <c r="A232" s="37"/>
      <c r="B232" s="230" t="s">
        <v>1033</v>
      </c>
      <c r="C232" s="229">
        <v>75.394416</v>
      </c>
      <c r="D232" s="229">
        <v>75.394416</v>
      </c>
      <c r="E232" s="229">
        <v>75.394416</v>
      </c>
      <c r="F232" s="229"/>
      <c r="G232" s="229"/>
      <c r="H232" s="229"/>
      <c r="I232" s="229"/>
      <c r="J232" s="229"/>
      <c r="K232" s="229"/>
      <c r="L232" s="229"/>
      <c r="M232" s="229"/>
      <c r="N232" s="232"/>
    </row>
    <row r="233" hidden="1" spans="1:14">
      <c r="A233" s="37"/>
      <c r="B233" s="230" t="s">
        <v>1027</v>
      </c>
      <c r="C233" s="229">
        <v>6</v>
      </c>
      <c r="D233" s="229">
        <v>6</v>
      </c>
      <c r="E233" s="229">
        <v>6</v>
      </c>
      <c r="F233" s="229"/>
      <c r="G233" s="229"/>
      <c r="H233" s="229"/>
      <c r="I233" s="229"/>
      <c r="J233" s="229"/>
      <c r="K233" s="229"/>
      <c r="L233" s="229"/>
      <c r="M233" s="229"/>
      <c r="N233" s="232"/>
    </row>
    <row r="234" hidden="1" spans="1:14">
      <c r="A234" s="37"/>
      <c r="B234" s="230" t="s">
        <v>1039</v>
      </c>
      <c r="C234" s="229">
        <v>5.311884</v>
      </c>
      <c r="D234" s="229">
        <v>5.311884</v>
      </c>
      <c r="E234" s="229">
        <v>5.311884</v>
      </c>
      <c r="F234" s="229"/>
      <c r="G234" s="229"/>
      <c r="H234" s="229"/>
      <c r="I234" s="229"/>
      <c r="J234" s="229"/>
      <c r="K234" s="229"/>
      <c r="L234" s="229"/>
      <c r="M234" s="229"/>
      <c r="N234" s="232"/>
    </row>
    <row r="235" hidden="1" spans="1:14">
      <c r="A235" s="37"/>
      <c r="B235" s="230" t="s">
        <v>1032</v>
      </c>
      <c r="C235" s="229">
        <v>265.5942</v>
      </c>
      <c r="D235" s="229">
        <v>265.5942</v>
      </c>
      <c r="E235" s="229">
        <v>265.5942</v>
      </c>
      <c r="F235" s="229"/>
      <c r="G235" s="229"/>
      <c r="H235" s="229"/>
      <c r="I235" s="229"/>
      <c r="J235" s="229"/>
      <c r="K235" s="229"/>
      <c r="L235" s="229"/>
      <c r="M235" s="229"/>
      <c r="N235" s="232"/>
    </row>
    <row r="236" hidden="1" spans="1:14">
      <c r="A236" s="37"/>
      <c r="B236" s="230" t="s">
        <v>1038</v>
      </c>
      <c r="C236" s="229">
        <v>0.21</v>
      </c>
      <c r="D236" s="229">
        <v>0.21</v>
      </c>
      <c r="E236" s="229">
        <v>0.21</v>
      </c>
      <c r="F236" s="229"/>
      <c r="G236" s="229"/>
      <c r="H236" s="229"/>
      <c r="I236" s="229"/>
      <c r="J236" s="229"/>
      <c r="K236" s="229"/>
      <c r="L236" s="229"/>
      <c r="M236" s="229"/>
      <c r="N236" s="232"/>
    </row>
    <row r="237" hidden="1" spans="1:14">
      <c r="A237" s="37"/>
      <c r="B237" s="230" t="s">
        <v>1037</v>
      </c>
      <c r="C237" s="229">
        <v>4.92933</v>
      </c>
      <c r="D237" s="229">
        <v>4.92933</v>
      </c>
      <c r="E237" s="229">
        <v>4.92933</v>
      </c>
      <c r="F237" s="229"/>
      <c r="G237" s="229"/>
      <c r="H237" s="229"/>
      <c r="I237" s="229"/>
      <c r="J237" s="229"/>
      <c r="K237" s="229"/>
      <c r="L237" s="229"/>
      <c r="M237" s="229"/>
      <c r="N237" s="232"/>
    </row>
    <row r="238" spans="1:14">
      <c r="A238" s="391" t="s">
        <v>620</v>
      </c>
      <c r="B238" s="231" t="s">
        <v>621</v>
      </c>
      <c r="C238" s="229">
        <v>3122.586214</v>
      </c>
      <c r="D238" s="229">
        <v>3122.586214</v>
      </c>
      <c r="E238" s="229">
        <v>3122.586214</v>
      </c>
      <c r="F238" s="229"/>
      <c r="G238" s="229"/>
      <c r="H238" s="229"/>
      <c r="I238" s="229"/>
      <c r="J238" s="229"/>
      <c r="K238" s="229"/>
      <c r="L238" s="229"/>
      <c r="M238" s="229"/>
      <c r="N238" s="233" t="s">
        <v>578</v>
      </c>
    </row>
    <row r="239" hidden="1" spans="1:14">
      <c r="A239" s="37"/>
      <c r="B239" s="230" t="s">
        <v>1032</v>
      </c>
      <c r="C239" s="229">
        <v>1861.42412</v>
      </c>
      <c r="D239" s="229">
        <v>1861.42412</v>
      </c>
      <c r="E239" s="229">
        <v>1861.42412</v>
      </c>
      <c r="F239" s="229"/>
      <c r="G239" s="229"/>
      <c r="H239" s="229"/>
      <c r="I239" s="229"/>
      <c r="J239" s="229"/>
      <c r="K239" s="229"/>
      <c r="L239" s="229"/>
      <c r="M239" s="229"/>
      <c r="N239" s="232"/>
    </row>
    <row r="240" hidden="1" spans="1:14">
      <c r="A240" s="37"/>
      <c r="B240" s="230" t="s">
        <v>1027</v>
      </c>
      <c r="C240" s="229">
        <v>4</v>
      </c>
      <c r="D240" s="229">
        <v>4</v>
      </c>
      <c r="E240" s="229">
        <v>4</v>
      </c>
      <c r="F240" s="229"/>
      <c r="G240" s="229"/>
      <c r="H240" s="229"/>
      <c r="I240" s="229"/>
      <c r="J240" s="229"/>
      <c r="K240" s="229"/>
      <c r="L240" s="229"/>
      <c r="M240" s="229"/>
      <c r="N240" s="232"/>
    </row>
    <row r="241" hidden="1" spans="1:14">
      <c r="A241" s="37"/>
      <c r="B241" s="230" t="s">
        <v>1033</v>
      </c>
      <c r="C241" s="229">
        <v>496.718964</v>
      </c>
      <c r="D241" s="229">
        <v>496.718964</v>
      </c>
      <c r="E241" s="229">
        <v>496.718964</v>
      </c>
      <c r="F241" s="229"/>
      <c r="G241" s="229"/>
      <c r="H241" s="229"/>
      <c r="I241" s="229"/>
      <c r="J241" s="229"/>
      <c r="K241" s="229"/>
      <c r="L241" s="229"/>
      <c r="M241" s="229"/>
      <c r="N241" s="232"/>
    </row>
    <row r="242" hidden="1" spans="1:14">
      <c r="A242" s="37"/>
      <c r="B242" s="230" t="s">
        <v>1030</v>
      </c>
      <c r="C242" s="229">
        <v>48</v>
      </c>
      <c r="D242" s="229">
        <v>48</v>
      </c>
      <c r="E242" s="229">
        <v>48</v>
      </c>
      <c r="F242" s="229"/>
      <c r="G242" s="229"/>
      <c r="H242" s="229"/>
      <c r="I242" s="229"/>
      <c r="J242" s="229"/>
      <c r="K242" s="229"/>
      <c r="L242" s="229"/>
      <c r="M242" s="229"/>
      <c r="N242" s="232"/>
    </row>
    <row r="243" hidden="1" spans="1:14">
      <c r="A243" s="37"/>
      <c r="B243" s="230" t="s">
        <v>1029</v>
      </c>
      <c r="C243" s="229">
        <v>324.87</v>
      </c>
      <c r="D243" s="229">
        <v>324.87</v>
      </c>
      <c r="E243" s="229">
        <v>324.87</v>
      </c>
      <c r="F243" s="229"/>
      <c r="G243" s="229"/>
      <c r="H243" s="229"/>
      <c r="I243" s="229"/>
      <c r="J243" s="229"/>
      <c r="K243" s="229"/>
      <c r="L243" s="229"/>
      <c r="M243" s="229"/>
      <c r="N243" s="232"/>
    </row>
    <row r="244" hidden="1" spans="1:14">
      <c r="A244" s="37"/>
      <c r="B244" s="230" t="s">
        <v>1028</v>
      </c>
      <c r="C244" s="229">
        <v>45.39</v>
      </c>
      <c r="D244" s="229">
        <v>45.39</v>
      </c>
      <c r="E244" s="229">
        <v>45.39</v>
      </c>
      <c r="F244" s="229"/>
      <c r="G244" s="229"/>
      <c r="H244" s="229"/>
      <c r="I244" s="229"/>
      <c r="J244" s="229"/>
      <c r="K244" s="229"/>
      <c r="L244" s="229"/>
      <c r="M244" s="229"/>
      <c r="N244" s="232"/>
    </row>
    <row r="245" hidden="1" spans="1:14">
      <c r="A245" s="37"/>
      <c r="B245" s="230" t="s">
        <v>1038</v>
      </c>
      <c r="C245" s="229">
        <v>0.39</v>
      </c>
      <c r="D245" s="229">
        <v>0.39</v>
      </c>
      <c r="E245" s="229">
        <v>0.39</v>
      </c>
      <c r="F245" s="229"/>
      <c r="G245" s="229"/>
      <c r="H245" s="229"/>
      <c r="I245" s="229"/>
      <c r="J245" s="229"/>
      <c r="K245" s="229"/>
      <c r="L245" s="229"/>
      <c r="M245" s="229"/>
      <c r="N245" s="232"/>
    </row>
    <row r="246" hidden="1" spans="1:14">
      <c r="A246" s="37"/>
      <c r="B246" s="230" t="s">
        <v>1046</v>
      </c>
      <c r="C246" s="229">
        <v>1.991004</v>
      </c>
      <c r="D246" s="229">
        <v>1.991004</v>
      </c>
      <c r="E246" s="229">
        <v>1.991004</v>
      </c>
      <c r="F246" s="229"/>
      <c r="G246" s="229"/>
      <c r="H246" s="229"/>
      <c r="I246" s="229"/>
      <c r="J246" s="229"/>
      <c r="K246" s="229"/>
      <c r="L246" s="229"/>
      <c r="M246" s="229"/>
      <c r="N246" s="232"/>
    </row>
    <row r="247" hidden="1" spans="1:14">
      <c r="A247" s="37"/>
      <c r="B247" s="230" t="s">
        <v>1039</v>
      </c>
      <c r="C247" s="229">
        <v>37.228482</v>
      </c>
      <c r="D247" s="229">
        <v>37.228482</v>
      </c>
      <c r="E247" s="229">
        <v>37.228482</v>
      </c>
      <c r="F247" s="229"/>
      <c r="G247" s="229"/>
      <c r="H247" s="229"/>
      <c r="I247" s="229"/>
      <c r="J247" s="229"/>
      <c r="K247" s="229"/>
      <c r="L247" s="229"/>
      <c r="M247" s="229"/>
      <c r="N247" s="232"/>
    </row>
    <row r="248" hidden="1" spans="1:14">
      <c r="A248" s="37"/>
      <c r="B248" s="230" t="s">
        <v>1037</v>
      </c>
      <c r="C248" s="229">
        <v>1.13475</v>
      </c>
      <c r="D248" s="229">
        <v>1.13475</v>
      </c>
      <c r="E248" s="229">
        <v>1.13475</v>
      </c>
      <c r="F248" s="229"/>
      <c r="G248" s="229"/>
      <c r="H248" s="229"/>
      <c r="I248" s="229"/>
      <c r="J248" s="229"/>
      <c r="K248" s="229"/>
      <c r="L248" s="229"/>
      <c r="M248" s="229"/>
      <c r="N248" s="232"/>
    </row>
    <row r="249" hidden="1" spans="1:14">
      <c r="A249" s="37"/>
      <c r="B249" s="230" t="s">
        <v>1035</v>
      </c>
      <c r="C249" s="229">
        <v>1.4</v>
      </c>
      <c r="D249" s="229">
        <v>1.4</v>
      </c>
      <c r="E249" s="229">
        <v>1.4</v>
      </c>
      <c r="F249" s="229"/>
      <c r="G249" s="229"/>
      <c r="H249" s="229"/>
      <c r="I249" s="229"/>
      <c r="J249" s="229"/>
      <c r="K249" s="229"/>
      <c r="L249" s="229"/>
      <c r="M249" s="229"/>
      <c r="N249" s="232"/>
    </row>
    <row r="250" hidden="1" spans="1:14">
      <c r="A250" s="37"/>
      <c r="B250" s="230" t="s">
        <v>1031</v>
      </c>
      <c r="C250" s="229">
        <v>76.668</v>
      </c>
      <c r="D250" s="229">
        <v>76.668</v>
      </c>
      <c r="E250" s="229">
        <v>76.668</v>
      </c>
      <c r="F250" s="229"/>
      <c r="G250" s="229"/>
      <c r="H250" s="229"/>
      <c r="I250" s="229"/>
      <c r="J250" s="229"/>
      <c r="K250" s="229"/>
      <c r="L250" s="229"/>
      <c r="M250" s="229"/>
      <c r="N250" s="232"/>
    </row>
    <row r="251" hidden="1" spans="1:14">
      <c r="A251" s="37"/>
      <c r="B251" s="230" t="s">
        <v>1036</v>
      </c>
      <c r="C251" s="229">
        <v>223.370894</v>
      </c>
      <c r="D251" s="229">
        <v>223.370894</v>
      </c>
      <c r="E251" s="229">
        <v>223.370894</v>
      </c>
      <c r="F251" s="229"/>
      <c r="G251" s="229"/>
      <c r="H251" s="229"/>
      <c r="I251" s="229"/>
      <c r="J251" s="229"/>
      <c r="K251" s="229"/>
      <c r="L251" s="229"/>
      <c r="M251" s="229"/>
      <c r="N251" s="232"/>
    </row>
    <row r="252" spans="1:14">
      <c r="A252" s="391" t="s">
        <v>622</v>
      </c>
      <c r="B252" s="230" t="s">
        <v>623</v>
      </c>
      <c r="C252" s="229">
        <v>374.254971</v>
      </c>
      <c r="D252" s="229">
        <v>374.254971</v>
      </c>
      <c r="E252" s="229">
        <v>374.254971</v>
      </c>
      <c r="F252" s="229"/>
      <c r="G252" s="229"/>
      <c r="H252" s="229"/>
      <c r="I252" s="229"/>
      <c r="J252" s="229"/>
      <c r="K252" s="229"/>
      <c r="L252" s="229"/>
      <c r="M252" s="229"/>
      <c r="N252" s="233" t="s">
        <v>578</v>
      </c>
    </row>
    <row r="253" hidden="1" spans="1:14">
      <c r="A253" s="37"/>
      <c r="B253" s="230" t="s">
        <v>1031</v>
      </c>
      <c r="C253" s="229">
        <v>6.6</v>
      </c>
      <c r="D253" s="229">
        <v>6.6</v>
      </c>
      <c r="E253" s="229">
        <v>6.6</v>
      </c>
      <c r="F253" s="229"/>
      <c r="G253" s="229"/>
      <c r="H253" s="229"/>
      <c r="I253" s="229"/>
      <c r="J253" s="229"/>
      <c r="K253" s="229"/>
      <c r="L253" s="229"/>
      <c r="M253" s="229"/>
      <c r="N253" s="232"/>
    </row>
    <row r="254" hidden="1" spans="1:14">
      <c r="A254" s="37"/>
      <c r="B254" s="230" t="s">
        <v>1039</v>
      </c>
      <c r="C254" s="229">
        <v>4.645702</v>
      </c>
      <c r="D254" s="229">
        <v>4.645702</v>
      </c>
      <c r="E254" s="229">
        <v>4.645702</v>
      </c>
      <c r="F254" s="229"/>
      <c r="G254" s="229"/>
      <c r="H254" s="229"/>
      <c r="I254" s="229"/>
      <c r="J254" s="229"/>
      <c r="K254" s="229"/>
      <c r="L254" s="229"/>
      <c r="M254" s="229"/>
      <c r="N254" s="232"/>
    </row>
    <row r="255" hidden="1" spans="1:14">
      <c r="A255" s="37"/>
      <c r="B255" s="230" t="s">
        <v>1036</v>
      </c>
      <c r="C255" s="229">
        <v>27.874209</v>
      </c>
      <c r="D255" s="229">
        <v>27.874209</v>
      </c>
      <c r="E255" s="229">
        <v>27.874209</v>
      </c>
      <c r="F255" s="229"/>
      <c r="G255" s="229"/>
      <c r="H255" s="229"/>
      <c r="I255" s="229"/>
      <c r="J255" s="229"/>
      <c r="K255" s="229"/>
      <c r="L255" s="229"/>
      <c r="M255" s="229"/>
      <c r="N255" s="232"/>
    </row>
    <row r="256" hidden="1" spans="1:14">
      <c r="A256" s="37"/>
      <c r="B256" s="230" t="s">
        <v>1032</v>
      </c>
      <c r="C256" s="229">
        <v>232.285076</v>
      </c>
      <c r="D256" s="229">
        <v>232.285076</v>
      </c>
      <c r="E256" s="229">
        <v>232.285076</v>
      </c>
      <c r="F256" s="229"/>
      <c r="G256" s="229"/>
      <c r="H256" s="229"/>
      <c r="I256" s="229"/>
      <c r="J256" s="229"/>
      <c r="K256" s="229"/>
      <c r="L256" s="229"/>
      <c r="M256" s="229"/>
      <c r="N256" s="232"/>
    </row>
    <row r="257" hidden="1" spans="1:14">
      <c r="A257" s="37"/>
      <c r="B257" s="230" t="s">
        <v>1029</v>
      </c>
      <c r="C257" s="229">
        <v>41.99</v>
      </c>
      <c r="D257" s="229">
        <v>41.99</v>
      </c>
      <c r="E257" s="229">
        <v>41.99</v>
      </c>
      <c r="F257" s="229"/>
      <c r="G257" s="229"/>
      <c r="H257" s="229"/>
      <c r="I257" s="229"/>
      <c r="J257" s="229"/>
      <c r="K257" s="229"/>
      <c r="L257" s="229"/>
      <c r="M257" s="229"/>
      <c r="N257" s="232"/>
    </row>
    <row r="258" hidden="1" spans="1:14">
      <c r="A258" s="37"/>
      <c r="B258" s="230" t="s">
        <v>1046</v>
      </c>
      <c r="C258" s="229">
        <v>0.2304</v>
      </c>
      <c r="D258" s="229">
        <v>0.2304</v>
      </c>
      <c r="E258" s="229">
        <v>0.2304</v>
      </c>
      <c r="F258" s="229"/>
      <c r="G258" s="229"/>
      <c r="H258" s="229"/>
      <c r="I258" s="229"/>
      <c r="J258" s="229"/>
      <c r="K258" s="229"/>
      <c r="L258" s="229"/>
      <c r="M258" s="229"/>
      <c r="N258" s="232"/>
    </row>
    <row r="259" hidden="1" spans="1:14">
      <c r="A259" s="37"/>
      <c r="B259" s="230" t="s">
        <v>1033</v>
      </c>
      <c r="C259" s="229">
        <v>60.629584</v>
      </c>
      <c r="D259" s="229">
        <v>60.629584</v>
      </c>
      <c r="E259" s="229">
        <v>60.629584</v>
      </c>
      <c r="F259" s="229"/>
      <c r="G259" s="229"/>
      <c r="H259" s="229"/>
      <c r="I259" s="229"/>
      <c r="J259" s="229"/>
      <c r="K259" s="229"/>
      <c r="L259" s="229"/>
      <c r="M259" s="229"/>
      <c r="N259" s="232"/>
    </row>
    <row r="260" spans="1:14">
      <c r="A260" s="391" t="s">
        <v>624</v>
      </c>
      <c r="B260" s="231" t="s">
        <v>625</v>
      </c>
      <c r="C260" s="229">
        <v>6074.22085</v>
      </c>
      <c r="D260" s="229">
        <v>6074.22085</v>
      </c>
      <c r="E260" s="229">
        <v>6074.22085</v>
      </c>
      <c r="F260" s="229"/>
      <c r="G260" s="229"/>
      <c r="H260" s="229"/>
      <c r="I260" s="229"/>
      <c r="J260" s="229"/>
      <c r="K260" s="229"/>
      <c r="L260" s="229"/>
      <c r="M260" s="229"/>
      <c r="N260" s="233" t="s">
        <v>578</v>
      </c>
    </row>
    <row r="261" hidden="1" spans="1:14">
      <c r="A261" s="37"/>
      <c r="B261" s="230" t="s">
        <v>1038</v>
      </c>
      <c r="C261" s="229">
        <v>3.64</v>
      </c>
      <c r="D261" s="229">
        <v>3.64</v>
      </c>
      <c r="E261" s="229">
        <v>3.64</v>
      </c>
      <c r="F261" s="229"/>
      <c r="G261" s="229"/>
      <c r="H261" s="229"/>
      <c r="I261" s="229"/>
      <c r="J261" s="229"/>
      <c r="K261" s="229"/>
      <c r="L261" s="229"/>
      <c r="M261" s="229"/>
      <c r="N261" s="232"/>
    </row>
    <row r="262" hidden="1" spans="1:14">
      <c r="A262" s="37"/>
      <c r="B262" s="230" t="s">
        <v>1046</v>
      </c>
      <c r="C262" s="229">
        <v>3.084</v>
      </c>
      <c r="D262" s="229">
        <v>3.084</v>
      </c>
      <c r="E262" s="229">
        <v>3.084</v>
      </c>
      <c r="F262" s="229"/>
      <c r="G262" s="229"/>
      <c r="H262" s="229"/>
      <c r="I262" s="229"/>
      <c r="J262" s="229"/>
      <c r="K262" s="229"/>
      <c r="L262" s="229"/>
      <c r="M262" s="229"/>
      <c r="N262" s="232"/>
    </row>
    <row r="263" hidden="1" spans="1:14">
      <c r="A263" s="37"/>
      <c r="B263" s="230" t="s">
        <v>1029</v>
      </c>
      <c r="C263" s="229">
        <v>327.204</v>
      </c>
      <c r="D263" s="229">
        <v>327.204</v>
      </c>
      <c r="E263" s="229">
        <v>327.204</v>
      </c>
      <c r="F263" s="229"/>
      <c r="G263" s="229"/>
      <c r="H263" s="229"/>
      <c r="I263" s="229"/>
      <c r="J263" s="229"/>
      <c r="K263" s="229"/>
      <c r="L263" s="229"/>
      <c r="M263" s="229"/>
      <c r="N263" s="232"/>
    </row>
    <row r="264" hidden="1" spans="1:14">
      <c r="A264" s="37"/>
      <c r="B264" s="230" t="s">
        <v>1039</v>
      </c>
      <c r="C264" s="229">
        <v>70.783536</v>
      </c>
      <c r="D264" s="229">
        <v>70.783536</v>
      </c>
      <c r="E264" s="229">
        <v>70.783536</v>
      </c>
      <c r="F264" s="229"/>
      <c r="G264" s="229"/>
      <c r="H264" s="229"/>
      <c r="I264" s="229"/>
      <c r="J264" s="229"/>
      <c r="K264" s="229"/>
      <c r="L264" s="229"/>
      <c r="M264" s="229"/>
      <c r="N264" s="232"/>
    </row>
    <row r="265" hidden="1" spans="1:14">
      <c r="A265" s="37"/>
      <c r="B265" s="230" t="s">
        <v>1036</v>
      </c>
      <c r="C265" s="229">
        <v>424.701216</v>
      </c>
      <c r="D265" s="229">
        <v>424.701216</v>
      </c>
      <c r="E265" s="229">
        <v>424.701216</v>
      </c>
      <c r="F265" s="229"/>
      <c r="G265" s="229"/>
      <c r="H265" s="229"/>
      <c r="I265" s="229"/>
      <c r="J265" s="229"/>
      <c r="K265" s="229"/>
      <c r="L265" s="229"/>
      <c r="M265" s="229"/>
      <c r="N265" s="232"/>
    </row>
    <row r="266" hidden="1" spans="1:14">
      <c r="A266" s="37"/>
      <c r="B266" s="230" t="s">
        <v>1032</v>
      </c>
      <c r="C266" s="229">
        <v>3539.1768</v>
      </c>
      <c r="D266" s="229">
        <v>3539.1768</v>
      </c>
      <c r="E266" s="229">
        <v>3539.1768</v>
      </c>
      <c r="F266" s="229"/>
      <c r="G266" s="229"/>
      <c r="H266" s="229"/>
      <c r="I266" s="229"/>
      <c r="J266" s="229"/>
      <c r="K266" s="229"/>
      <c r="L266" s="229"/>
      <c r="M266" s="229"/>
      <c r="N266" s="232"/>
    </row>
    <row r="267" hidden="1" spans="1:14">
      <c r="A267" s="37"/>
      <c r="B267" s="230" t="s">
        <v>1037</v>
      </c>
      <c r="C267" s="229">
        <v>25.07472</v>
      </c>
      <c r="D267" s="229">
        <v>25.07472</v>
      </c>
      <c r="E267" s="229">
        <v>25.07472</v>
      </c>
      <c r="F267" s="229"/>
      <c r="G267" s="229"/>
      <c r="H267" s="229"/>
      <c r="I267" s="229"/>
      <c r="J267" s="229"/>
      <c r="K267" s="229"/>
      <c r="L267" s="229"/>
      <c r="M267" s="229"/>
      <c r="N267" s="232"/>
    </row>
    <row r="268" hidden="1" spans="1:14">
      <c r="A268" s="37"/>
      <c r="B268" s="230" t="s">
        <v>1031</v>
      </c>
      <c r="C268" s="229">
        <v>108.276</v>
      </c>
      <c r="D268" s="229">
        <v>108.276</v>
      </c>
      <c r="E268" s="229">
        <v>108.276</v>
      </c>
      <c r="F268" s="229"/>
      <c r="G268" s="229"/>
      <c r="H268" s="229"/>
      <c r="I268" s="229"/>
      <c r="J268" s="229"/>
      <c r="K268" s="229"/>
      <c r="L268" s="229"/>
      <c r="M268" s="229"/>
      <c r="N268" s="232"/>
    </row>
    <row r="269" hidden="1" spans="1:14">
      <c r="A269" s="37"/>
      <c r="B269" s="230" t="s">
        <v>1030</v>
      </c>
      <c r="C269" s="229">
        <v>4</v>
      </c>
      <c r="D269" s="229">
        <v>4</v>
      </c>
      <c r="E269" s="229">
        <v>4</v>
      </c>
      <c r="F269" s="229"/>
      <c r="G269" s="229"/>
      <c r="H269" s="229"/>
      <c r="I269" s="229"/>
      <c r="J269" s="229"/>
      <c r="K269" s="229"/>
      <c r="L269" s="229"/>
      <c r="M269" s="229"/>
      <c r="N269" s="232"/>
    </row>
    <row r="270" hidden="1" spans="1:14">
      <c r="A270" s="37"/>
      <c r="B270" s="230" t="s">
        <v>1035</v>
      </c>
      <c r="C270" s="229">
        <v>14.98</v>
      </c>
      <c r="D270" s="229">
        <v>14.98</v>
      </c>
      <c r="E270" s="229">
        <v>14.98</v>
      </c>
      <c r="F270" s="229"/>
      <c r="G270" s="229"/>
      <c r="H270" s="229"/>
      <c r="I270" s="229"/>
      <c r="J270" s="229"/>
      <c r="K270" s="229"/>
      <c r="L270" s="229"/>
      <c r="M270" s="229"/>
      <c r="N270" s="232"/>
    </row>
    <row r="271" hidden="1" spans="1:14">
      <c r="A271" s="37"/>
      <c r="B271" s="230" t="s">
        <v>1034</v>
      </c>
      <c r="C271" s="229">
        <v>15.21</v>
      </c>
      <c r="D271" s="229">
        <v>15.21</v>
      </c>
      <c r="E271" s="229">
        <v>15.21</v>
      </c>
      <c r="F271" s="229"/>
      <c r="G271" s="229"/>
      <c r="H271" s="229"/>
      <c r="I271" s="229"/>
      <c r="J271" s="229"/>
      <c r="K271" s="229"/>
      <c r="L271" s="229"/>
      <c r="M271" s="229"/>
      <c r="N271" s="232"/>
    </row>
    <row r="272" hidden="1" spans="1:14">
      <c r="A272" s="37"/>
      <c r="B272" s="230" t="s">
        <v>1028</v>
      </c>
      <c r="C272" s="229">
        <v>451.7088</v>
      </c>
      <c r="D272" s="229">
        <v>451.7088</v>
      </c>
      <c r="E272" s="229">
        <v>451.7088</v>
      </c>
      <c r="F272" s="229"/>
      <c r="G272" s="229"/>
      <c r="H272" s="229"/>
      <c r="I272" s="229"/>
      <c r="J272" s="229"/>
      <c r="K272" s="229"/>
      <c r="L272" s="229"/>
      <c r="M272" s="229"/>
      <c r="N272" s="232"/>
    </row>
    <row r="273" hidden="1" spans="1:14">
      <c r="A273" s="37"/>
      <c r="B273" s="230" t="s">
        <v>1027</v>
      </c>
      <c r="C273" s="229">
        <v>40</v>
      </c>
      <c r="D273" s="229">
        <v>40</v>
      </c>
      <c r="E273" s="229">
        <v>40</v>
      </c>
      <c r="F273" s="229"/>
      <c r="G273" s="229"/>
      <c r="H273" s="229"/>
      <c r="I273" s="229"/>
      <c r="J273" s="229"/>
      <c r="K273" s="229"/>
      <c r="L273" s="229"/>
      <c r="M273" s="229"/>
      <c r="N273" s="232"/>
    </row>
    <row r="274" hidden="1" spans="1:14">
      <c r="A274" s="37"/>
      <c r="B274" s="230" t="s">
        <v>1033</v>
      </c>
      <c r="C274" s="229">
        <v>1046.381778</v>
      </c>
      <c r="D274" s="229">
        <v>1046.381778</v>
      </c>
      <c r="E274" s="229">
        <v>1046.381778</v>
      </c>
      <c r="F274" s="229"/>
      <c r="G274" s="229"/>
      <c r="H274" s="229"/>
      <c r="I274" s="229"/>
      <c r="J274" s="229"/>
      <c r="K274" s="229"/>
      <c r="L274" s="229"/>
      <c r="M274" s="229"/>
      <c r="N274" s="232"/>
    </row>
    <row r="275" spans="1:14">
      <c r="A275" s="391" t="s">
        <v>626</v>
      </c>
      <c r="B275" s="231" t="s">
        <v>627</v>
      </c>
      <c r="C275" s="229">
        <v>643.547181</v>
      </c>
      <c r="D275" s="229">
        <v>643.547181</v>
      </c>
      <c r="E275" s="229">
        <v>643.547181</v>
      </c>
      <c r="F275" s="229"/>
      <c r="G275" s="229"/>
      <c r="H275" s="229"/>
      <c r="I275" s="229"/>
      <c r="J275" s="229"/>
      <c r="K275" s="229"/>
      <c r="L275" s="229"/>
      <c r="M275" s="229"/>
      <c r="N275" s="233" t="s">
        <v>578</v>
      </c>
    </row>
    <row r="276" hidden="1" spans="1:14">
      <c r="A276" s="37"/>
      <c r="B276" s="230" t="s">
        <v>1028</v>
      </c>
      <c r="C276" s="229">
        <v>52.6884</v>
      </c>
      <c r="D276" s="229">
        <v>52.6884</v>
      </c>
      <c r="E276" s="229">
        <v>52.6884</v>
      </c>
      <c r="F276" s="229"/>
      <c r="G276" s="229"/>
      <c r="H276" s="229"/>
      <c r="I276" s="229"/>
      <c r="J276" s="229"/>
      <c r="K276" s="229"/>
      <c r="L276" s="229"/>
      <c r="M276" s="229"/>
      <c r="N276" s="232"/>
    </row>
    <row r="277" hidden="1" spans="1:14">
      <c r="A277" s="37"/>
      <c r="B277" s="230" t="s">
        <v>1031</v>
      </c>
      <c r="C277" s="229">
        <v>15.54</v>
      </c>
      <c r="D277" s="229">
        <v>15.54</v>
      </c>
      <c r="E277" s="229">
        <v>15.54</v>
      </c>
      <c r="F277" s="229"/>
      <c r="G277" s="229"/>
      <c r="H277" s="229"/>
      <c r="I277" s="229"/>
      <c r="J277" s="229"/>
      <c r="K277" s="229"/>
      <c r="L277" s="229"/>
      <c r="M277" s="229"/>
      <c r="N277" s="232"/>
    </row>
    <row r="278" hidden="1" spans="1:14">
      <c r="A278" s="37"/>
      <c r="B278" s="230" t="s">
        <v>1039</v>
      </c>
      <c r="C278" s="229">
        <v>7.347072</v>
      </c>
      <c r="D278" s="229">
        <v>7.347072</v>
      </c>
      <c r="E278" s="229">
        <v>7.347072</v>
      </c>
      <c r="F278" s="229"/>
      <c r="G278" s="229"/>
      <c r="H278" s="229"/>
      <c r="I278" s="229"/>
      <c r="J278" s="229"/>
      <c r="K278" s="229"/>
      <c r="L278" s="229"/>
      <c r="M278" s="229"/>
      <c r="N278" s="232"/>
    </row>
    <row r="279" hidden="1" spans="1:14">
      <c r="A279" s="37"/>
      <c r="B279" s="230" t="s">
        <v>1037</v>
      </c>
      <c r="C279" s="229">
        <v>1.31721</v>
      </c>
      <c r="D279" s="229">
        <v>1.31721</v>
      </c>
      <c r="E279" s="229">
        <v>1.31721</v>
      </c>
      <c r="F279" s="229"/>
      <c r="G279" s="229"/>
      <c r="H279" s="229"/>
      <c r="I279" s="229"/>
      <c r="J279" s="229"/>
      <c r="K279" s="229"/>
      <c r="L279" s="229"/>
      <c r="M279" s="229"/>
      <c r="N279" s="232"/>
    </row>
    <row r="280" hidden="1" spans="1:14">
      <c r="A280" s="37"/>
      <c r="B280" s="230" t="s">
        <v>1036</v>
      </c>
      <c r="C280" s="229">
        <v>44.082432</v>
      </c>
      <c r="D280" s="229">
        <v>44.082432</v>
      </c>
      <c r="E280" s="229">
        <v>44.082432</v>
      </c>
      <c r="F280" s="229"/>
      <c r="G280" s="229"/>
      <c r="H280" s="229"/>
      <c r="I280" s="229"/>
      <c r="J280" s="229"/>
      <c r="K280" s="229"/>
      <c r="L280" s="229"/>
      <c r="M280" s="229"/>
      <c r="N280" s="232"/>
    </row>
    <row r="281" hidden="1" spans="1:14">
      <c r="A281" s="37"/>
      <c r="B281" s="230" t="s">
        <v>1029</v>
      </c>
      <c r="C281" s="229">
        <v>33.55</v>
      </c>
      <c r="D281" s="229">
        <v>33.55</v>
      </c>
      <c r="E281" s="229">
        <v>33.55</v>
      </c>
      <c r="F281" s="229"/>
      <c r="G281" s="229"/>
      <c r="H281" s="229"/>
      <c r="I281" s="229"/>
      <c r="J281" s="229"/>
      <c r="K281" s="229"/>
      <c r="L281" s="229"/>
      <c r="M281" s="229"/>
      <c r="N281" s="232"/>
    </row>
    <row r="282" hidden="1" spans="1:14">
      <c r="A282" s="37"/>
      <c r="B282" s="230" t="s">
        <v>1038</v>
      </c>
      <c r="C282" s="229">
        <v>0.04</v>
      </c>
      <c r="D282" s="229">
        <v>0.04</v>
      </c>
      <c r="E282" s="229">
        <v>0.04</v>
      </c>
      <c r="F282" s="229"/>
      <c r="G282" s="229"/>
      <c r="H282" s="229"/>
      <c r="I282" s="229"/>
      <c r="J282" s="229"/>
      <c r="K282" s="229"/>
      <c r="L282" s="229"/>
      <c r="M282" s="229"/>
      <c r="N282" s="232"/>
    </row>
    <row r="283" hidden="1" spans="1:14">
      <c r="A283" s="37"/>
      <c r="B283" s="230" t="s">
        <v>1032</v>
      </c>
      <c r="C283" s="229">
        <v>367.3536</v>
      </c>
      <c r="D283" s="229">
        <v>367.3536</v>
      </c>
      <c r="E283" s="229">
        <v>367.3536</v>
      </c>
      <c r="F283" s="229"/>
      <c r="G283" s="229"/>
      <c r="H283" s="229"/>
      <c r="I283" s="229"/>
      <c r="J283" s="229"/>
      <c r="K283" s="229"/>
      <c r="L283" s="229"/>
      <c r="M283" s="229"/>
      <c r="N283" s="232"/>
    </row>
    <row r="284" hidden="1" spans="1:14">
      <c r="A284" s="37"/>
      <c r="B284" s="230" t="s">
        <v>1035</v>
      </c>
      <c r="C284" s="229">
        <v>1.68</v>
      </c>
      <c r="D284" s="229">
        <v>1.68</v>
      </c>
      <c r="E284" s="229">
        <v>1.68</v>
      </c>
      <c r="F284" s="229"/>
      <c r="G284" s="229"/>
      <c r="H284" s="229"/>
      <c r="I284" s="229"/>
      <c r="J284" s="229"/>
      <c r="K284" s="229"/>
      <c r="L284" s="229"/>
      <c r="M284" s="229"/>
      <c r="N284" s="232"/>
    </row>
    <row r="285" hidden="1" spans="1:14">
      <c r="A285" s="37"/>
      <c r="B285" s="230" t="s">
        <v>1027</v>
      </c>
      <c r="C285" s="229">
        <v>6</v>
      </c>
      <c r="D285" s="229">
        <v>6</v>
      </c>
      <c r="E285" s="229">
        <v>6</v>
      </c>
      <c r="F285" s="229"/>
      <c r="G285" s="229"/>
      <c r="H285" s="229"/>
      <c r="I285" s="229"/>
      <c r="J285" s="229"/>
      <c r="K285" s="229"/>
      <c r="L285" s="229"/>
      <c r="M285" s="229"/>
      <c r="N285" s="232"/>
    </row>
    <row r="286" hidden="1" spans="1:14">
      <c r="A286" s="37"/>
      <c r="B286" s="230" t="s">
        <v>1034</v>
      </c>
      <c r="C286" s="229">
        <v>3.042</v>
      </c>
      <c r="D286" s="229">
        <v>3.042</v>
      </c>
      <c r="E286" s="229">
        <v>3.042</v>
      </c>
      <c r="F286" s="229"/>
      <c r="G286" s="229"/>
      <c r="H286" s="229"/>
      <c r="I286" s="229"/>
      <c r="J286" s="229"/>
      <c r="K286" s="229"/>
      <c r="L286" s="229"/>
      <c r="M286" s="229"/>
      <c r="N286" s="232"/>
    </row>
    <row r="287" hidden="1" spans="1:14">
      <c r="A287" s="37"/>
      <c r="B287" s="230" t="s">
        <v>1033</v>
      </c>
      <c r="C287" s="229">
        <v>110.906467</v>
      </c>
      <c r="D287" s="229">
        <v>110.906467</v>
      </c>
      <c r="E287" s="229">
        <v>110.906467</v>
      </c>
      <c r="F287" s="229"/>
      <c r="G287" s="229"/>
      <c r="H287" s="229"/>
      <c r="I287" s="229"/>
      <c r="J287" s="229"/>
      <c r="K287" s="229"/>
      <c r="L287" s="229"/>
      <c r="M287" s="229"/>
      <c r="N287" s="232"/>
    </row>
    <row r="288" spans="1:14">
      <c r="A288" s="391" t="s">
        <v>628</v>
      </c>
      <c r="B288" s="231" t="s">
        <v>629</v>
      </c>
      <c r="C288" s="229">
        <v>128.572812</v>
      </c>
      <c r="D288" s="229">
        <v>128.572812</v>
      </c>
      <c r="E288" s="229">
        <v>128.572812</v>
      </c>
      <c r="F288" s="229"/>
      <c r="G288" s="229"/>
      <c r="H288" s="229"/>
      <c r="I288" s="229"/>
      <c r="J288" s="229"/>
      <c r="K288" s="229"/>
      <c r="L288" s="229"/>
      <c r="M288" s="229"/>
      <c r="N288" s="233" t="s">
        <v>578</v>
      </c>
    </row>
    <row r="289" hidden="1" spans="1:14">
      <c r="A289" s="37"/>
      <c r="B289" s="230" t="s">
        <v>1033</v>
      </c>
      <c r="C289" s="229">
        <v>51.817612</v>
      </c>
      <c r="D289" s="229">
        <v>51.817612</v>
      </c>
      <c r="E289" s="229">
        <v>51.817612</v>
      </c>
      <c r="F289" s="229"/>
      <c r="G289" s="229"/>
      <c r="H289" s="229"/>
      <c r="I289" s="229"/>
      <c r="J289" s="229"/>
      <c r="K289" s="229"/>
      <c r="L289" s="229"/>
      <c r="M289" s="229"/>
      <c r="N289" s="232"/>
    </row>
    <row r="290" hidden="1" spans="1:14">
      <c r="A290" s="37"/>
      <c r="B290" s="230" t="s">
        <v>1028</v>
      </c>
      <c r="C290" s="229">
        <v>54.6552</v>
      </c>
      <c r="D290" s="229">
        <v>54.6552</v>
      </c>
      <c r="E290" s="229">
        <v>54.6552</v>
      </c>
      <c r="F290" s="229"/>
      <c r="G290" s="229"/>
      <c r="H290" s="229"/>
      <c r="I290" s="229"/>
      <c r="J290" s="229"/>
      <c r="K290" s="229"/>
      <c r="L290" s="229"/>
      <c r="M290" s="229"/>
      <c r="N290" s="232"/>
    </row>
    <row r="291" hidden="1" spans="1:14">
      <c r="A291" s="37"/>
      <c r="B291" s="230" t="s">
        <v>1032</v>
      </c>
      <c r="C291" s="229">
        <v>22.1</v>
      </c>
      <c r="D291" s="229">
        <v>22.1</v>
      </c>
      <c r="E291" s="229">
        <v>22.1</v>
      </c>
      <c r="F291" s="229"/>
      <c r="G291" s="229"/>
      <c r="H291" s="229"/>
      <c r="I291" s="229"/>
      <c r="J291" s="229"/>
      <c r="K291" s="229"/>
      <c r="L291" s="229"/>
      <c r="M291" s="229"/>
      <c r="N291" s="232"/>
    </row>
    <row r="292" spans="1:14">
      <c r="A292" s="225"/>
      <c r="B292" s="226" t="s">
        <v>630</v>
      </c>
      <c r="C292" s="205">
        <v>9518.661969</v>
      </c>
      <c r="D292" s="205">
        <v>9518.661969</v>
      </c>
      <c r="E292" s="205">
        <v>9518.661969</v>
      </c>
      <c r="F292" s="205"/>
      <c r="G292" s="205"/>
      <c r="H292" s="205"/>
      <c r="I292" s="205"/>
      <c r="J292" s="205"/>
      <c r="K292" s="205"/>
      <c r="L292" s="205"/>
      <c r="M292" s="205"/>
      <c r="N292" s="232" t="s">
        <v>578</v>
      </c>
    </row>
    <row r="293" spans="1:14">
      <c r="A293" s="227">
        <v>101001</v>
      </c>
      <c r="B293" s="231" t="s">
        <v>632</v>
      </c>
      <c r="C293" s="229">
        <v>995.808657</v>
      </c>
      <c r="D293" s="229">
        <v>995.808657</v>
      </c>
      <c r="E293" s="229">
        <v>995.808657</v>
      </c>
      <c r="F293" s="229"/>
      <c r="G293" s="229"/>
      <c r="H293" s="229"/>
      <c r="I293" s="229"/>
      <c r="J293" s="229"/>
      <c r="K293" s="229"/>
      <c r="L293" s="229"/>
      <c r="M293" s="229"/>
      <c r="N293" s="233" t="s">
        <v>578</v>
      </c>
    </row>
    <row r="294" hidden="1" spans="1:14">
      <c r="A294" s="235"/>
      <c r="B294" s="230" t="s">
        <v>1035</v>
      </c>
      <c r="C294" s="229">
        <v>3.28</v>
      </c>
      <c r="D294" s="229">
        <v>3.28</v>
      </c>
      <c r="E294" s="229">
        <v>3.28</v>
      </c>
      <c r="F294" s="229"/>
      <c r="G294" s="229"/>
      <c r="H294" s="229"/>
      <c r="I294" s="229"/>
      <c r="J294" s="229"/>
      <c r="K294" s="229"/>
      <c r="L294" s="229"/>
      <c r="M294" s="229"/>
      <c r="N294" s="232"/>
    </row>
    <row r="295" hidden="1" spans="1:14">
      <c r="A295" s="235"/>
      <c r="B295" s="230" t="s">
        <v>1029</v>
      </c>
      <c r="C295" s="229">
        <v>50.264</v>
      </c>
      <c r="D295" s="229">
        <v>50.264</v>
      </c>
      <c r="E295" s="229">
        <v>50.264</v>
      </c>
      <c r="F295" s="229"/>
      <c r="G295" s="229"/>
      <c r="H295" s="229"/>
      <c r="I295" s="229"/>
      <c r="J295" s="229"/>
      <c r="K295" s="229"/>
      <c r="L295" s="229"/>
      <c r="M295" s="229"/>
      <c r="N295" s="232"/>
    </row>
    <row r="296" hidden="1" spans="1:14">
      <c r="A296" s="235"/>
      <c r="B296" s="230" t="s">
        <v>1037</v>
      </c>
      <c r="C296" s="229">
        <v>2.44308</v>
      </c>
      <c r="D296" s="229">
        <v>2.44308</v>
      </c>
      <c r="E296" s="229">
        <v>2.44308</v>
      </c>
      <c r="F296" s="229"/>
      <c r="G296" s="229"/>
      <c r="H296" s="229"/>
      <c r="I296" s="229"/>
      <c r="J296" s="229"/>
      <c r="K296" s="229"/>
      <c r="L296" s="229"/>
      <c r="M296" s="229"/>
      <c r="N296" s="232"/>
    </row>
    <row r="297" hidden="1" spans="1:14">
      <c r="A297" s="235"/>
      <c r="B297" s="230" t="s">
        <v>1038</v>
      </c>
      <c r="C297" s="229">
        <v>1.03</v>
      </c>
      <c r="D297" s="229">
        <v>1.03</v>
      </c>
      <c r="E297" s="229">
        <v>1.03</v>
      </c>
      <c r="F297" s="229"/>
      <c r="G297" s="229"/>
      <c r="H297" s="229"/>
      <c r="I297" s="229"/>
      <c r="J297" s="229"/>
      <c r="K297" s="229"/>
      <c r="L297" s="229"/>
      <c r="M297" s="229"/>
      <c r="N297" s="232"/>
    </row>
    <row r="298" hidden="1" spans="1:14">
      <c r="A298" s="235"/>
      <c r="B298" s="230" t="s">
        <v>1032</v>
      </c>
      <c r="C298" s="229">
        <v>556.842588</v>
      </c>
      <c r="D298" s="229">
        <v>556.842588</v>
      </c>
      <c r="E298" s="229">
        <v>556.842588</v>
      </c>
      <c r="F298" s="229"/>
      <c r="G298" s="229"/>
      <c r="H298" s="229"/>
      <c r="I298" s="229"/>
      <c r="J298" s="229"/>
      <c r="K298" s="229"/>
      <c r="L298" s="229"/>
      <c r="M298" s="229"/>
      <c r="N298" s="232"/>
    </row>
    <row r="299" hidden="1" spans="1:14">
      <c r="A299" s="235"/>
      <c r="B299" s="230" t="s">
        <v>1039</v>
      </c>
      <c r="C299" s="229">
        <v>11.136852</v>
      </c>
      <c r="D299" s="229">
        <v>11.136852</v>
      </c>
      <c r="E299" s="229">
        <v>11.136852</v>
      </c>
      <c r="F299" s="229"/>
      <c r="G299" s="229"/>
      <c r="H299" s="229"/>
      <c r="I299" s="229"/>
      <c r="J299" s="229"/>
      <c r="K299" s="229"/>
      <c r="L299" s="229"/>
      <c r="M299" s="229"/>
      <c r="N299" s="232"/>
    </row>
    <row r="300" hidden="1" spans="1:14">
      <c r="A300" s="235"/>
      <c r="B300" s="230" t="s">
        <v>1034</v>
      </c>
      <c r="C300" s="229">
        <v>7.098</v>
      </c>
      <c r="D300" s="229">
        <v>7.098</v>
      </c>
      <c r="E300" s="229">
        <v>7.098</v>
      </c>
      <c r="F300" s="229"/>
      <c r="G300" s="229"/>
      <c r="H300" s="229"/>
      <c r="I300" s="229"/>
      <c r="J300" s="229"/>
      <c r="K300" s="229"/>
      <c r="L300" s="229"/>
      <c r="M300" s="229"/>
      <c r="N300" s="232"/>
    </row>
    <row r="301" hidden="1" spans="1:14">
      <c r="A301" s="235"/>
      <c r="B301" s="230" t="s">
        <v>1031</v>
      </c>
      <c r="C301" s="229">
        <v>20.268</v>
      </c>
      <c r="D301" s="229">
        <v>20.268</v>
      </c>
      <c r="E301" s="229">
        <v>20.268</v>
      </c>
      <c r="F301" s="229"/>
      <c r="G301" s="229"/>
      <c r="H301" s="229"/>
      <c r="I301" s="229"/>
      <c r="J301" s="229"/>
      <c r="K301" s="229"/>
      <c r="L301" s="229"/>
      <c r="M301" s="229"/>
      <c r="N301" s="232"/>
    </row>
    <row r="302" hidden="1" spans="1:14">
      <c r="A302" s="235"/>
      <c r="B302" s="230" t="s">
        <v>1027</v>
      </c>
      <c r="C302" s="229">
        <v>10</v>
      </c>
      <c r="D302" s="229">
        <v>10</v>
      </c>
      <c r="E302" s="229">
        <v>10</v>
      </c>
      <c r="F302" s="229"/>
      <c r="G302" s="229"/>
      <c r="H302" s="229"/>
      <c r="I302" s="229"/>
      <c r="J302" s="229"/>
      <c r="K302" s="229"/>
      <c r="L302" s="229"/>
      <c r="M302" s="229"/>
      <c r="N302" s="232"/>
    </row>
    <row r="303" hidden="1" spans="1:14">
      <c r="A303" s="235"/>
      <c r="B303" s="230" t="s">
        <v>1028</v>
      </c>
      <c r="C303" s="229">
        <v>97.7232</v>
      </c>
      <c r="D303" s="229">
        <v>97.7232</v>
      </c>
      <c r="E303" s="229">
        <v>97.7232</v>
      </c>
      <c r="F303" s="229"/>
      <c r="G303" s="229"/>
      <c r="H303" s="229"/>
      <c r="I303" s="229"/>
      <c r="J303" s="229"/>
      <c r="K303" s="229"/>
      <c r="L303" s="229"/>
      <c r="M303" s="229"/>
      <c r="N303" s="232"/>
    </row>
    <row r="304" hidden="1" spans="1:14">
      <c r="A304" s="235"/>
      <c r="B304" s="230" t="s">
        <v>1033</v>
      </c>
      <c r="C304" s="229">
        <v>168.901826</v>
      </c>
      <c r="D304" s="229">
        <v>168.901826</v>
      </c>
      <c r="E304" s="229">
        <v>168.901826</v>
      </c>
      <c r="F304" s="229"/>
      <c r="G304" s="229"/>
      <c r="H304" s="229"/>
      <c r="I304" s="229"/>
      <c r="J304" s="229"/>
      <c r="K304" s="229"/>
      <c r="L304" s="229"/>
      <c r="M304" s="229"/>
      <c r="N304" s="232"/>
    </row>
    <row r="305" hidden="1" spans="1:14">
      <c r="A305" s="235"/>
      <c r="B305" s="230" t="s">
        <v>1036</v>
      </c>
      <c r="C305" s="229">
        <v>66.821111</v>
      </c>
      <c r="D305" s="229">
        <v>66.821111</v>
      </c>
      <c r="E305" s="229">
        <v>66.821111</v>
      </c>
      <c r="F305" s="229"/>
      <c r="G305" s="229"/>
      <c r="H305" s="229"/>
      <c r="I305" s="229"/>
      <c r="J305" s="229"/>
      <c r="K305" s="229"/>
      <c r="L305" s="229"/>
      <c r="M305" s="229"/>
      <c r="N305" s="232"/>
    </row>
    <row r="306" spans="1:14">
      <c r="A306" s="227">
        <v>101002</v>
      </c>
      <c r="B306" s="231" t="s">
        <v>634</v>
      </c>
      <c r="C306" s="229">
        <v>468.119496</v>
      </c>
      <c r="D306" s="229">
        <v>468.119496</v>
      </c>
      <c r="E306" s="229">
        <v>468.119496</v>
      </c>
      <c r="F306" s="229"/>
      <c r="G306" s="229"/>
      <c r="H306" s="229"/>
      <c r="I306" s="229"/>
      <c r="J306" s="229"/>
      <c r="K306" s="229"/>
      <c r="L306" s="229"/>
      <c r="M306" s="229"/>
      <c r="N306" s="233" t="s">
        <v>578</v>
      </c>
    </row>
    <row r="307" hidden="1" spans="1:14">
      <c r="A307" s="235"/>
      <c r="B307" s="230" t="s">
        <v>1036</v>
      </c>
      <c r="C307" s="229">
        <v>27.543804</v>
      </c>
      <c r="D307" s="229">
        <v>27.543804</v>
      </c>
      <c r="E307" s="229">
        <v>27.543804</v>
      </c>
      <c r="F307" s="229"/>
      <c r="G307" s="229"/>
      <c r="H307" s="229"/>
      <c r="I307" s="229"/>
      <c r="J307" s="229"/>
      <c r="K307" s="229"/>
      <c r="L307" s="229"/>
      <c r="M307" s="229"/>
      <c r="N307" s="232"/>
    </row>
    <row r="308" hidden="1" spans="1:14">
      <c r="A308" s="235"/>
      <c r="B308" s="230" t="s">
        <v>1038</v>
      </c>
      <c r="C308" s="229">
        <v>0.36</v>
      </c>
      <c r="D308" s="229">
        <v>0.36</v>
      </c>
      <c r="E308" s="229">
        <v>0.36</v>
      </c>
      <c r="F308" s="229"/>
      <c r="G308" s="229"/>
      <c r="H308" s="229"/>
      <c r="I308" s="229"/>
      <c r="J308" s="229"/>
      <c r="K308" s="229"/>
      <c r="L308" s="229"/>
      <c r="M308" s="229"/>
      <c r="N308" s="232"/>
    </row>
    <row r="309" hidden="1" spans="1:14">
      <c r="A309" s="235"/>
      <c r="B309" s="230" t="s">
        <v>1031</v>
      </c>
      <c r="C309" s="229">
        <v>5.04</v>
      </c>
      <c r="D309" s="229">
        <v>5.04</v>
      </c>
      <c r="E309" s="229">
        <v>5.04</v>
      </c>
      <c r="F309" s="229"/>
      <c r="G309" s="229"/>
      <c r="H309" s="229"/>
      <c r="I309" s="229"/>
      <c r="J309" s="229"/>
      <c r="K309" s="229"/>
      <c r="L309" s="229"/>
      <c r="M309" s="229"/>
      <c r="N309" s="232"/>
    </row>
    <row r="310" hidden="1" spans="1:14">
      <c r="A310" s="235"/>
      <c r="B310" s="230" t="s">
        <v>1028</v>
      </c>
      <c r="C310" s="229">
        <v>86.5176</v>
      </c>
      <c r="D310" s="229">
        <v>86.5176</v>
      </c>
      <c r="E310" s="229">
        <v>86.5176</v>
      </c>
      <c r="F310" s="229"/>
      <c r="G310" s="229"/>
      <c r="H310" s="229"/>
      <c r="I310" s="229"/>
      <c r="J310" s="229"/>
      <c r="K310" s="229"/>
      <c r="L310" s="229"/>
      <c r="M310" s="229"/>
      <c r="N310" s="232"/>
    </row>
    <row r="311" hidden="1" spans="1:14">
      <c r="A311" s="235"/>
      <c r="B311" s="230" t="s">
        <v>1037</v>
      </c>
      <c r="C311" s="229">
        <v>2.16294</v>
      </c>
      <c r="D311" s="229">
        <v>2.16294</v>
      </c>
      <c r="E311" s="229">
        <v>2.16294</v>
      </c>
      <c r="F311" s="229"/>
      <c r="G311" s="229"/>
      <c r="H311" s="229"/>
      <c r="I311" s="229"/>
      <c r="J311" s="229"/>
      <c r="K311" s="229"/>
      <c r="L311" s="229"/>
      <c r="M311" s="229"/>
      <c r="N311" s="232"/>
    </row>
    <row r="312" hidden="1" spans="1:14">
      <c r="A312" s="235"/>
      <c r="B312" s="230" t="s">
        <v>1033</v>
      </c>
      <c r="C312" s="229">
        <v>81.926818</v>
      </c>
      <c r="D312" s="229">
        <v>81.926818</v>
      </c>
      <c r="E312" s="229">
        <v>81.926818</v>
      </c>
      <c r="F312" s="229"/>
      <c r="G312" s="229"/>
      <c r="H312" s="229"/>
      <c r="I312" s="229"/>
      <c r="J312" s="229"/>
      <c r="K312" s="229"/>
      <c r="L312" s="229"/>
      <c r="M312" s="229"/>
      <c r="N312" s="232"/>
    </row>
    <row r="313" hidden="1" spans="1:14">
      <c r="A313" s="235"/>
      <c r="B313" s="230" t="s">
        <v>1032</v>
      </c>
      <c r="C313" s="229">
        <v>229.5317</v>
      </c>
      <c r="D313" s="229">
        <v>229.5317</v>
      </c>
      <c r="E313" s="229">
        <v>229.5317</v>
      </c>
      <c r="F313" s="229"/>
      <c r="G313" s="229"/>
      <c r="H313" s="229"/>
      <c r="I313" s="229"/>
      <c r="J313" s="229"/>
      <c r="K313" s="229"/>
      <c r="L313" s="229"/>
      <c r="M313" s="229"/>
      <c r="N313" s="232"/>
    </row>
    <row r="314" hidden="1" spans="1:14">
      <c r="A314" s="235"/>
      <c r="B314" s="230" t="s">
        <v>1030</v>
      </c>
      <c r="C314" s="229">
        <v>4</v>
      </c>
      <c r="D314" s="229">
        <v>4</v>
      </c>
      <c r="E314" s="229">
        <v>4</v>
      </c>
      <c r="F314" s="229"/>
      <c r="G314" s="229"/>
      <c r="H314" s="229"/>
      <c r="I314" s="229"/>
      <c r="J314" s="229"/>
      <c r="K314" s="229"/>
      <c r="L314" s="229"/>
      <c r="M314" s="229"/>
      <c r="N314" s="232"/>
    </row>
    <row r="315" hidden="1" spans="1:14">
      <c r="A315" s="235"/>
      <c r="B315" s="230" t="s">
        <v>1027</v>
      </c>
      <c r="C315" s="229">
        <v>4</v>
      </c>
      <c r="D315" s="229">
        <v>4</v>
      </c>
      <c r="E315" s="229">
        <v>4</v>
      </c>
      <c r="F315" s="229"/>
      <c r="G315" s="229"/>
      <c r="H315" s="229"/>
      <c r="I315" s="229"/>
      <c r="J315" s="229"/>
      <c r="K315" s="229"/>
      <c r="L315" s="229"/>
      <c r="M315" s="229"/>
      <c r="N315" s="232"/>
    </row>
    <row r="316" hidden="1" spans="1:14">
      <c r="A316" s="235"/>
      <c r="B316" s="230" t="s">
        <v>1034</v>
      </c>
      <c r="C316" s="229">
        <v>4.056</v>
      </c>
      <c r="D316" s="229">
        <v>4.056</v>
      </c>
      <c r="E316" s="229">
        <v>4.056</v>
      </c>
      <c r="F316" s="229"/>
      <c r="G316" s="229"/>
      <c r="H316" s="229"/>
      <c r="I316" s="229"/>
      <c r="J316" s="229"/>
      <c r="K316" s="229"/>
      <c r="L316" s="229"/>
      <c r="M316" s="229"/>
      <c r="N316" s="232"/>
    </row>
    <row r="317" hidden="1" spans="1:14">
      <c r="A317" s="235"/>
      <c r="B317" s="230" t="s">
        <v>1039</v>
      </c>
      <c r="C317" s="229">
        <v>4.590634</v>
      </c>
      <c r="D317" s="229">
        <v>4.590634</v>
      </c>
      <c r="E317" s="229">
        <v>4.590634</v>
      </c>
      <c r="F317" s="229"/>
      <c r="G317" s="229"/>
      <c r="H317" s="229"/>
      <c r="I317" s="229"/>
      <c r="J317" s="229"/>
      <c r="K317" s="229"/>
      <c r="L317" s="229"/>
      <c r="M317" s="229"/>
      <c r="N317" s="232"/>
    </row>
    <row r="318" hidden="1" spans="1:14">
      <c r="A318" s="235"/>
      <c r="B318" s="230" t="s">
        <v>1029</v>
      </c>
      <c r="C318" s="229">
        <v>15.39</v>
      </c>
      <c r="D318" s="229">
        <v>15.39</v>
      </c>
      <c r="E318" s="229">
        <v>15.39</v>
      </c>
      <c r="F318" s="229"/>
      <c r="G318" s="229"/>
      <c r="H318" s="229"/>
      <c r="I318" s="229"/>
      <c r="J318" s="229"/>
      <c r="K318" s="229"/>
      <c r="L318" s="229"/>
      <c r="M318" s="229"/>
      <c r="N318" s="232"/>
    </row>
    <row r="319" hidden="1" spans="1:14">
      <c r="A319" s="235"/>
      <c r="B319" s="230" t="s">
        <v>1035</v>
      </c>
      <c r="C319" s="229">
        <v>3</v>
      </c>
      <c r="D319" s="229">
        <v>3</v>
      </c>
      <c r="E319" s="229">
        <v>3</v>
      </c>
      <c r="F319" s="229"/>
      <c r="G319" s="229"/>
      <c r="H319" s="229"/>
      <c r="I319" s="229"/>
      <c r="J319" s="229"/>
      <c r="K319" s="229"/>
      <c r="L319" s="229"/>
      <c r="M319" s="229"/>
      <c r="N319" s="232"/>
    </row>
    <row r="320" spans="1:14">
      <c r="A320" s="227">
        <v>101003</v>
      </c>
      <c r="B320" s="231" t="s">
        <v>636</v>
      </c>
      <c r="C320" s="229">
        <v>1735.572343</v>
      </c>
      <c r="D320" s="229">
        <v>1735.572343</v>
      </c>
      <c r="E320" s="229">
        <v>1735.572343</v>
      </c>
      <c r="F320" s="229"/>
      <c r="G320" s="229"/>
      <c r="H320" s="229"/>
      <c r="I320" s="229"/>
      <c r="J320" s="229"/>
      <c r="K320" s="229"/>
      <c r="L320" s="229"/>
      <c r="M320" s="229"/>
      <c r="N320" s="233" t="s">
        <v>578</v>
      </c>
    </row>
    <row r="321" hidden="1" spans="1:14">
      <c r="A321" s="235"/>
      <c r="B321" s="230" t="s">
        <v>1037</v>
      </c>
      <c r="C321" s="229">
        <v>2.646</v>
      </c>
      <c r="D321" s="229">
        <v>2.646</v>
      </c>
      <c r="E321" s="229">
        <v>2.646</v>
      </c>
      <c r="F321" s="229"/>
      <c r="G321" s="229"/>
      <c r="H321" s="229"/>
      <c r="I321" s="229"/>
      <c r="J321" s="229"/>
      <c r="K321" s="229"/>
      <c r="L321" s="229"/>
      <c r="M321" s="229"/>
      <c r="N321" s="232"/>
    </row>
    <row r="322" hidden="1" spans="1:14">
      <c r="A322" s="235"/>
      <c r="B322" s="230" t="s">
        <v>1031</v>
      </c>
      <c r="C322" s="229">
        <v>2.64</v>
      </c>
      <c r="D322" s="229">
        <v>2.64</v>
      </c>
      <c r="E322" s="229">
        <v>2.64</v>
      </c>
      <c r="F322" s="229"/>
      <c r="G322" s="229"/>
      <c r="H322" s="229"/>
      <c r="I322" s="229"/>
      <c r="J322" s="229"/>
      <c r="K322" s="229"/>
      <c r="L322" s="229"/>
      <c r="M322" s="229"/>
      <c r="N322" s="232"/>
    </row>
    <row r="323" hidden="1" spans="1:14">
      <c r="A323" s="235"/>
      <c r="B323" s="230" t="s">
        <v>1032</v>
      </c>
      <c r="C323" s="229">
        <v>1075.1488</v>
      </c>
      <c r="D323" s="229">
        <v>1075.1488</v>
      </c>
      <c r="E323" s="229">
        <v>1075.1488</v>
      </c>
      <c r="F323" s="229"/>
      <c r="G323" s="229"/>
      <c r="H323" s="229"/>
      <c r="I323" s="229"/>
      <c r="J323" s="229"/>
      <c r="K323" s="229"/>
      <c r="L323" s="229"/>
      <c r="M323" s="229"/>
      <c r="N323" s="232"/>
    </row>
    <row r="324" hidden="1" spans="1:14">
      <c r="A324" s="235"/>
      <c r="B324" s="230" t="s">
        <v>1033</v>
      </c>
      <c r="C324" s="229">
        <v>314.312711</v>
      </c>
      <c r="D324" s="229">
        <v>314.312711</v>
      </c>
      <c r="E324" s="229">
        <v>314.312711</v>
      </c>
      <c r="F324" s="229"/>
      <c r="G324" s="229"/>
      <c r="H324" s="229"/>
      <c r="I324" s="229"/>
      <c r="J324" s="229"/>
      <c r="K324" s="229"/>
      <c r="L324" s="229"/>
      <c r="M324" s="229"/>
      <c r="N324" s="232"/>
    </row>
    <row r="325" hidden="1" spans="1:14">
      <c r="A325" s="235"/>
      <c r="B325" s="230" t="s">
        <v>1036</v>
      </c>
      <c r="C325" s="229">
        <v>129.017856</v>
      </c>
      <c r="D325" s="229">
        <v>129.017856</v>
      </c>
      <c r="E325" s="229">
        <v>129.017856</v>
      </c>
      <c r="F325" s="229"/>
      <c r="G325" s="229"/>
      <c r="H325" s="229"/>
      <c r="I325" s="229"/>
      <c r="J325" s="229"/>
      <c r="K325" s="229"/>
      <c r="L325" s="229"/>
      <c r="M325" s="229"/>
      <c r="N325" s="232"/>
    </row>
    <row r="326" hidden="1" spans="1:14">
      <c r="A326" s="235"/>
      <c r="B326" s="230" t="s">
        <v>1028</v>
      </c>
      <c r="C326" s="229">
        <v>105.84</v>
      </c>
      <c r="D326" s="229">
        <v>105.84</v>
      </c>
      <c r="E326" s="229">
        <v>105.84</v>
      </c>
      <c r="F326" s="229"/>
      <c r="G326" s="229"/>
      <c r="H326" s="229"/>
      <c r="I326" s="229"/>
      <c r="J326" s="229"/>
      <c r="K326" s="229"/>
      <c r="L326" s="229"/>
      <c r="M326" s="229"/>
      <c r="N326" s="232"/>
    </row>
    <row r="327" hidden="1" spans="1:14">
      <c r="A327" s="235"/>
      <c r="B327" s="230" t="s">
        <v>1038</v>
      </c>
      <c r="C327" s="229">
        <v>0.24</v>
      </c>
      <c r="D327" s="229">
        <v>0.24</v>
      </c>
      <c r="E327" s="229">
        <v>0.24</v>
      </c>
      <c r="F327" s="229"/>
      <c r="G327" s="229"/>
      <c r="H327" s="229"/>
      <c r="I327" s="229"/>
      <c r="J327" s="229"/>
      <c r="K327" s="229"/>
      <c r="L327" s="229"/>
      <c r="M327" s="229"/>
      <c r="N327" s="232"/>
    </row>
    <row r="328" hidden="1" spans="1:14">
      <c r="A328" s="235"/>
      <c r="B328" s="230" t="s">
        <v>1030</v>
      </c>
      <c r="C328" s="229">
        <v>8</v>
      </c>
      <c r="D328" s="229">
        <v>8</v>
      </c>
      <c r="E328" s="229">
        <v>8</v>
      </c>
      <c r="F328" s="229"/>
      <c r="G328" s="229"/>
      <c r="H328" s="229"/>
      <c r="I328" s="229"/>
      <c r="J328" s="229"/>
      <c r="K328" s="229"/>
      <c r="L328" s="229"/>
      <c r="M328" s="229"/>
      <c r="N328" s="232"/>
    </row>
    <row r="329" hidden="1" spans="1:14">
      <c r="A329" s="235"/>
      <c r="B329" s="230" t="s">
        <v>1034</v>
      </c>
      <c r="C329" s="229">
        <v>1.014</v>
      </c>
      <c r="D329" s="229">
        <v>1.014</v>
      </c>
      <c r="E329" s="229">
        <v>1.014</v>
      </c>
      <c r="F329" s="229"/>
      <c r="G329" s="229"/>
      <c r="H329" s="229"/>
      <c r="I329" s="229"/>
      <c r="J329" s="229"/>
      <c r="K329" s="229"/>
      <c r="L329" s="229"/>
      <c r="M329" s="229"/>
      <c r="N329" s="232"/>
    </row>
    <row r="330" hidden="1" spans="1:14">
      <c r="A330" s="235"/>
      <c r="B330" s="230" t="s">
        <v>1029</v>
      </c>
      <c r="C330" s="229">
        <v>65.61</v>
      </c>
      <c r="D330" s="229">
        <v>65.61</v>
      </c>
      <c r="E330" s="229">
        <v>65.61</v>
      </c>
      <c r="F330" s="229"/>
      <c r="G330" s="229"/>
      <c r="H330" s="229"/>
      <c r="I330" s="229"/>
      <c r="J330" s="229"/>
      <c r="K330" s="229"/>
      <c r="L330" s="229"/>
      <c r="M330" s="229"/>
      <c r="N330" s="232"/>
    </row>
    <row r="331" hidden="1" spans="1:14">
      <c r="A331" s="235"/>
      <c r="B331" s="230" t="s">
        <v>1027</v>
      </c>
      <c r="C331" s="229">
        <v>6</v>
      </c>
      <c r="D331" s="229">
        <v>6</v>
      </c>
      <c r="E331" s="229">
        <v>6</v>
      </c>
      <c r="F331" s="229"/>
      <c r="G331" s="229"/>
      <c r="H331" s="229"/>
      <c r="I331" s="229"/>
      <c r="J331" s="229"/>
      <c r="K331" s="229"/>
      <c r="L331" s="229"/>
      <c r="M331" s="229"/>
      <c r="N331" s="232"/>
    </row>
    <row r="332" hidden="1" spans="1:14">
      <c r="A332" s="235"/>
      <c r="B332" s="230" t="s">
        <v>1035</v>
      </c>
      <c r="C332" s="229">
        <v>3.6</v>
      </c>
      <c r="D332" s="229">
        <v>3.6</v>
      </c>
      <c r="E332" s="229">
        <v>3.6</v>
      </c>
      <c r="F332" s="229"/>
      <c r="G332" s="229"/>
      <c r="H332" s="229"/>
      <c r="I332" s="229"/>
      <c r="J332" s="229"/>
      <c r="K332" s="229"/>
      <c r="L332" s="229"/>
      <c r="M332" s="229"/>
      <c r="N332" s="232"/>
    </row>
    <row r="333" hidden="1" spans="1:14">
      <c r="A333" s="235"/>
      <c r="B333" s="230" t="s">
        <v>1039</v>
      </c>
      <c r="C333" s="229">
        <v>21.502976</v>
      </c>
      <c r="D333" s="229">
        <v>21.502976</v>
      </c>
      <c r="E333" s="229">
        <v>21.502976</v>
      </c>
      <c r="F333" s="229"/>
      <c r="G333" s="229"/>
      <c r="H333" s="229"/>
      <c r="I333" s="229"/>
      <c r="J333" s="229"/>
      <c r="K333" s="229"/>
      <c r="L333" s="229"/>
      <c r="M333" s="229"/>
      <c r="N333" s="232"/>
    </row>
    <row r="334" spans="1:14">
      <c r="A334" s="227">
        <v>101004</v>
      </c>
      <c r="B334" s="231" t="s">
        <v>638</v>
      </c>
      <c r="C334" s="229">
        <v>221.198308</v>
      </c>
      <c r="D334" s="229">
        <v>221.198308</v>
      </c>
      <c r="E334" s="229">
        <v>221.198308</v>
      </c>
      <c r="F334" s="229"/>
      <c r="G334" s="229"/>
      <c r="H334" s="229"/>
      <c r="I334" s="229"/>
      <c r="J334" s="229"/>
      <c r="K334" s="229"/>
      <c r="L334" s="229"/>
      <c r="M334" s="229"/>
      <c r="N334" s="233" t="s">
        <v>578</v>
      </c>
    </row>
    <row r="335" hidden="1" spans="1:14">
      <c r="A335" s="235"/>
      <c r="B335" s="230" t="s">
        <v>1038</v>
      </c>
      <c r="C335" s="229">
        <v>0.06</v>
      </c>
      <c r="D335" s="229">
        <v>0.06</v>
      </c>
      <c r="E335" s="229">
        <v>0.06</v>
      </c>
      <c r="F335" s="229"/>
      <c r="G335" s="229"/>
      <c r="H335" s="229"/>
      <c r="I335" s="229"/>
      <c r="J335" s="229"/>
      <c r="K335" s="229"/>
      <c r="L335" s="229"/>
      <c r="M335" s="229"/>
      <c r="N335" s="232"/>
    </row>
    <row r="336" hidden="1" spans="1:14">
      <c r="A336" s="235"/>
      <c r="B336" s="230" t="s">
        <v>1036</v>
      </c>
      <c r="C336" s="229">
        <v>15.950723</v>
      </c>
      <c r="D336" s="229">
        <v>15.950723</v>
      </c>
      <c r="E336" s="229">
        <v>15.950723</v>
      </c>
      <c r="F336" s="229"/>
      <c r="G336" s="229"/>
      <c r="H336" s="229"/>
      <c r="I336" s="229"/>
      <c r="J336" s="229"/>
      <c r="K336" s="229"/>
      <c r="L336" s="229"/>
      <c r="M336" s="229"/>
      <c r="N336" s="232"/>
    </row>
    <row r="337" hidden="1" spans="1:14">
      <c r="A337" s="235"/>
      <c r="B337" s="230" t="s">
        <v>1033</v>
      </c>
      <c r="C337" s="229">
        <v>39.711439</v>
      </c>
      <c r="D337" s="229">
        <v>39.711439</v>
      </c>
      <c r="E337" s="229">
        <v>39.711439</v>
      </c>
      <c r="F337" s="229"/>
      <c r="G337" s="229"/>
      <c r="H337" s="229"/>
      <c r="I337" s="229"/>
      <c r="J337" s="229"/>
      <c r="K337" s="229"/>
      <c r="L337" s="229"/>
      <c r="M337" s="229"/>
      <c r="N337" s="232"/>
    </row>
    <row r="338" hidden="1" spans="1:14">
      <c r="A338" s="235"/>
      <c r="B338" s="230" t="s">
        <v>1037</v>
      </c>
      <c r="C338" s="229">
        <v>0.765</v>
      </c>
      <c r="D338" s="229">
        <v>0.765</v>
      </c>
      <c r="E338" s="229">
        <v>0.765</v>
      </c>
      <c r="F338" s="229"/>
      <c r="G338" s="229"/>
      <c r="H338" s="229"/>
      <c r="I338" s="229"/>
      <c r="J338" s="229"/>
      <c r="K338" s="229"/>
      <c r="L338" s="229"/>
      <c r="M338" s="229"/>
      <c r="N338" s="232"/>
    </row>
    <row r="339" hidden="1" spans="1:14">
      <c r="A339" s="235"/>
      <c r="B339" s="230" t="s">
        <v>1039</v>
      </c>
      <c r="C339" s="229">
        <v>2.658454</v>
      </c>
      <c r="D339" s="229">
        <v>2.658454</v>
      </c>
      <c r="E339" s="229">
        <v>2.658454</v>
      </c>
      <c r="F339" s="229"/>
      <c r="G339" s="229"/>
      <c r="H339" s="229"/>
      <c r="I339" s="229"/>
      <c r="J339" s="229"/>
      <c r="K339" s="229"/>
      <c r="L339" s="229"/>
      <c r="M339" s="229"/>
      <c r="N339" s="232"/>
    </row>
    <row r="340" hidden="1" spans="1:14">
      <c r="A340" s="235"/>
      <c r="B340" s="230" t="s">
        <v>1031</v>
      </c>
      <c r="C340" s="229">
        <v>1.98</v>
      </c>
      <c r="D340" s="229">
        <v>1.98</v>
      </c>
      <c r="E340" s="229">
        <v>1.98</v>
      </c>
      <c r="F340" s="229"/>
      <c r="G340" s="229"/>
      <c r="H340" s="229"/>
      <c r="I340" s="229"/>
      <c r="J340" s="229"/>
      <c r="K340" s="229"/>
      <c r="L340" s="229"/>
      <c r="M340" s="229"/>
      <c r="N340" s="232"/>
    </row>
    <row r="341" hidden="1" spans="1:14">
      <c r="A341" s="235"/>
      <c r="B341" s="230" t="s">
        <v>1035</v>
      </c>
      <c r="C341" s="229">
        <v>0.6</v>
      </c>
      <c r="D341" s="229">
        <v>0.6</v>
      </c>
      <c r="E341" s="229">
        <v>0.6</v>
      </c>
      <c r="F341" s="229"/>
      <c r="G341" s="229"/>
      <c r="H341" s="229"/>
      <c r="I341" s="229"/>
      <c r="J341" s="229"/>
      <c r="K341" s="229"/>
      <c r="L341" s="229"/>
      <c r="M341" s="229"/>
      <c r="N341" s="232"/>
    </row>
    <row r="342" hidden="1" spans="1:14">
      <c r="A342" s="235"/>
      <c r="B342" s="230" t="s">
        <v>1028</v>
      </c>
      <c r="C342" s="229">
        <v>17.64</v>
      </c>
      <c r="D342" s="229">
        <v>17.64</v>
      </c>
      <c r="E342" s="229">
        <v>17.64</v>
      </c>
      <c r="F342" s="229"/>
      <c r="G342" s="229"/>
      <c r="H342" s="229"/>
      <c r="I342" s="229"/>
      <c r="J342" s="229"/>
      <c r="K342" s="229"/>
      <c r="L342" s="229"/>
      <c r="M342" s="229"/>
      <c r="N342" s="232"/>
    </row>
    <row r="343" hidden="1" spans="1:14">
      <c r="A343" s="235"/>
      <c r="B343" s="230" t="s">
        <v>1032</v>
      </c>
      <c r="C343" s="229">
        <v>132.922692</v>
      </c>
      <c r="D343" s="229">
        <v>132.922692</v>
      </c>
      <c r="E343" s="229">
        <v>132.922692</v>
      </c>
      <c r="F343" s="229"/>
      <c r="G343" s="229"/>
      <c r="H343" s="229"/>
      <c r="I343" s="229"/>
      <c r="J343" s="229"/>
      <c r="K343" s="229"/>
      <c r="L343" s="229"/>
      <c r="M343" s="229"/>
      <c r="N343" s="232"/>
    </row>
    <row r="344" hidden="1" spans="1:14">
      <c r="A344" s="235"/>
      <c r="B344" s="230" t="s">
        <v>1029</v>
      </c>
      <c r="C344" s="229">
        <v>8.91</v>
      </c>
      <c r="D344" s="229">
        <v>8.91</v>
      </c>
      <c r="E344" s="229">
        <v>8.91</v>
      </c>
      <c r="F344" s="229"/>
      <c r="G344" s="229"/>
      <c r="H344" s="229"/>
      <c r="I344" s="229"/>
      <c r="J344" s="229"/>
      <c r="K344" s="229"/>
      <c r="L344" s="229"/>
      <c r="M344" s="229"/>
      <c r="N344" s="232"/>
    </row>
    <row r="345" spans="1:14">
      <c r="A345" s="227">
        <v>101005</v>
      </c>
      <c r="B345" s="231" t="s">
        <v>640</v>
      </c>
      <c r="C345" s="229">
        <v>604.1208</v>
      </c>
      <c r="D345" s="229">
        <v>604.1208</v>
      </c>
      <c r="E345" s="229">
        <v>604.1208</v>
      </c>
      <c r="F345" s="229"/>
      <c r="G345" s="229"/>
      <c r="H345" s="229"/>
      <c r="I345" s="229"/>
      <c r="J345" s="229"/>
      <c r="K345" s="229"/>
      <c r="L345" s="229"/>
      <c r="M345" s="229"/>
      <c r="N345" s="233" t="s">
        <v>578</v>
      </c>
    </row>
    <row r="346" hidden="1" spans="1:14">
      <c r="A346" s="235"/>
      <c r="B346" s="230" t="s">
        <v>1035</v>
      </c>
      <c r="C346" s="229">
        <v>2</v>
      </c>
      <c r="D346" s="229">
        <v>2</v>
      </c>
      <c r="E346" s="229">
        <v>2</v>
      </c>
      <c r="F346" s="229"/>
      <c r="G346" s="229"/>
      <c r="H346" s="229"/>
      <c r="I346" s="229"/>
      <c r="J346" s="229"/>
      <c r="K346" s="229"/>
      <c r="L346" s="229"/>
      <c r="M346" s="229"/>
      <c r="N346" s="232"/>
    </row>
    <row r="347" hidden="1" spans="1:14">
      <c r="A347" s="235"/>
      <c r="B347" s="230" t="s">
        <v>1037</v>
      </c>
      <c r="C347" s="229">
        <v>1.92</v>
      </c>
      <c r="D347" s="229">
        <v>1.92</v>
      </c>
      <c r="E347" s="229">
        <v>1.92</v>
      </c>
      <c r="F347" s="229"/>
      <c r="G347" s="229"/>
      <c r="H347" s="229"/>
      <c r="I347" s="229"/>
      <c r="J347" s="229"/>
      <c r="K347" s="229"/>
      <c r="L347" s="229"/>
      <c r="M347" s="229"/>
      <c r="N347" s="232"/>
    </row>
    <row r="348" hidden="1" spans="1:14">
      <c r="A348" s="235"/>
      <c r="B348" s="230" t="s">
        <v>1036</v>
      </c>
      <c r="C348" s="229">
        <v>42.209353</v>
      </c>
      <c r="D348" s="229">
        <v>42.209353</v>
      </c>
      <c r="E348" s="229">
        <v>42.209353</v>
      </c>
      <c r="F348" s="229"/>
      <c r="G348" s="229"/>
      <c r="H348" s="229"/>
      <c r="I348" s="229"/>
      <c r="J348" s="229"/>
      <c r="K348" s="229"/>
      <c r="L348" s="229"/>
      <c r="M348" s="229"/>
      <c r="N348" s="232"/>
    </row>
    <row r="349" hidden="1" spans="1:14">
      <c r="A349" s="235"/>
      <c r="B349" s="230" t="s">
        <v>1029</v>
      </c>
      <c r="C349" s="229">
        <v>22.68</v>
      </c>
      <c r="D349" s="229">
        <v>22.68</v>
      </c>
      <c r="E349" s="229">
        <v>22.68</v>
      </c>
      <c r="F349" s="229"/>
      <c r="G349" s="229"/>
      <c r="H349" s="229"/>
      <c r="I349" s="229"/>
      <c r="J349" s="229"/>
      <c r="K349" s="229"/>
      <c r="L349" s="229"/>
      <c r="M349" s="229"/>
      <c r="N349" s="232"/>
    </row>
    <row r="350" hidden="1" spans="1:14">
      <c r="A350" s="235"/>
      <c r="B350" s="230" t="s">
        <v>1031</v>
      </c>
      <c r="C350" s="229">
        <v>0.66</v>
      </c>
      <c r="D350" s="229">
        <v>0.66</v>
      </c>
      <c r="E350" s="229">
        <v>0.66</v>
      </c>
      <c r="F350" s="229"/>
      <c r="G350" s="229"/>
      <c r="H350" s="229"/>
      <c r="I350" s="229"/>
      <c r="J350" s="229"/>
      <c r="K350" s="229"/>
      <c r="L350" s="229"/>
      <c r="M350" s="229"/>
      <c r="N350" s="232"/>
    </row>
    <row r="351" hidden="1" spans="1:14">
      <c r="A351" s="235"/>
      <c r="B351" s="230" t="s">
        <v>1033</v>
      </c>
      <c r="C351" s="229">
        <v>110.741943</v>
      </c>
      <c r="D351" s="229">
        <v>110.741943</v>
      </c>
      <c r="E351" s="229">
        <v>110.741943</v>
      </c>
      <c r="F351" s="229"/>
      <c r="G351" s="229"/>
      <c r="H351" s="229"/>
      <c r="I351" s="229"/>
      <c r="J351" s="229"/>
      <c r="K351" s="229"/>
      <c r="L351" s="229"/>
      <c r="M351" s="229"/>
      <c r="N351" s="232"/>
    </row>
    <row r="352" hidden="1" spans="1:14">
      <c r="A352" s="235"/>
      <c r="B352" s="230" t="s">
        <v>1038</v>
      </c>
      <c r="C352" s="229">
        <v>0.33</v>
      </c>
      <c r="D352" s="229">
        <v>0.33</v>
      </c>
      <c r="E352" s="229">
        <v>0.33</v>
      </c>
      <c r="F352" s="229"/>
      <c r="G352" s="229"/>
      <c r="H352" s="229"/>
      <c r="I352" s="229"/>
      <c r="J352" s="229"/>
      <c r="K352" s="229"/>
      <c r="L352" s="229"/>
      <c r="M352" s="229"/>
      <c r="N352" s="232"/>
    </row>
    <row r="353" hidden="1" spans="1:14">
      <c r="A353" s="235"/>
      <c r="B353" s="230" t="s">
        <v>1032</v>
      </c>
      <c r="C353" s="229">
        <v>351.744612</v>
      </c>
      <c r="D353" s="229">
        <v>351.744612</v>
      </c>
      <c r="E353" s="229">
        <v>351.744612</v>
      </c>
      <c r="F353" s="229"/>
      <c r="G353" s="229"/>
      <c r="H353" s="229"/>
      <c r="I353" s="229"/>
      <c r="J353" s="229"/>
      <c r="K353" s="229"/>
      <c r="L353" s="229"/>
      <c r="M353" s="229"/>
      <c r="N353" s="232"/>
    </row>
    <row r="354" hidden="1" spans="1:14">
      <c r="A354" s="235"/>
      <c r="B354" s="230" t="s">
        <v>1030</v>
      </c>
      <c r="C354" s="229">
        <v>4</v>
      </c>
      <c r="D354" s="229">
        <v>4</v>
      </c>
      <c r="E354" s="229">
        <v>4</v>
      </c>
      <c r="F354" s="229"/>
      <c r="G354" s="229"/>
      <c r="H354" s="229"/>
      <c r="I354" s="229"/>
      <c r="J354" s="229"/>
      <c r="K354" s="229"/>
      <c r="L354" s="229"/>
      <c r="M354" s="229"/>
      <c r="N354" s="232"/>
    </row>
    <row r="355" hidden="1" spans="1:14">
      <c r="A355" s="235"/>
      <c r="B355" s="230" t="s">
        <v>1027</v>
      </c>
      <c r="C355" s="229">
        <v>2</v>
      </c>
      <c r="D355" s="229">
        <v>2</v>
      </c>
      <c r="E355" s="229">
        <v>2</v>
      </c>
      <c r="F355" s="229"/>
      <c r="G355" s="229"/>
      <c r="H355" s="229"/>
      <c r="I355" s="229"/>
      <c r="J355" s="229"/>
      <c r="K355" s="229"/>
      <c r="L355" s="229"/>
      <c r="M355" s="229"/>
      <c r="N355" s="232"/>
    </row>
    <row r="356" hidden="1" spans="1:14">
      <c r="A356" s="235"/>
      <c r="B356" s="230" t="s">
        <v>1028</v>
      </c>
      <c r="C356" s="229">
        <v>58.8</v>
      </c>
      <c r="D356" s="229">
        <v>58.8</v>
      </c>
      <c r="E356" s="229">
        <v>58.8</v>
      </c>
      <c r="F356" s="229"/>
      <c r="G356" s="229"/>
      <c r="H356" s="229"/>
      <c r="I356" s="229"/>
      <c r="J356" s="229"/>
      <c r="K356" s="229"/>
      <c r="L356" s="229"/>
      <c r="M356" s="229"/>
      <c r="N356" s="232"/>
    </row>
    <row r="357" hidden="1" spans="1:14">
      <c r="A357" s="235"/>
      <c r="B357" s="230" t="s">
        <v>1039</v>
      </c>
      <c r="C357" s="229">
        <v>7.034892</v>
      </c>
      <c r="D357" s="229">
        <v>7.034892</v>
      </c>
      <c r="E357" s="229">
        <v>7.034892</v>
      </c>
      <c r="F357" s="229"/>
      <c r="G357" s="229"/>
      <c r="H357" s="229"/>
      <c r="I357" s="229"/>
      <c r="J357" s="229"/>
      <c r="K357" s="229"/>
      <c r="L357" s="229"/>
      <c r="M357" s="229"/>
      <c r="N357" s="232"/>
    </row>
    <row r="358" spans="1:14">
      <c r="A358" s="227">
        <v>101006</v>
      </c>
      <c r="B358" s="231" t="s">
        <v>1048</v>
      </c>
      <c r="C358" s="229">
        <v>384.003311</v>
      </c>
      <c r="D358" s="229">
        <v>384.003311</v>
      </c>
      <c r="E358" s="229">
        <v>384.003311</v>
      </c>
      <c r="F358" s="229"/>
      <c r="G358" s="229"/>
      <c r="H358" s="229"/>
      <c r="I358" s="229"/>
      <c r="J358" s="229"/>
      <c r="K358" s="229"/>
      <c r="L358" s="229"/>
      <c r="M358" s="229"/>
      <c r="N358" s="233" t="s">
        <v>578</v>
      </c>
    </row>
    <row r="359" hidden="1" spans="1:14">
      <c r="A359" s="235"/>
      <c r="B359" s="230" t="s">
        <v>1032</v>
      </c>
      <c r="C359" s="229">
        <v>211.484228</v>
      </c>
      <c r="D359" s="229">
        <v>211.484228</v>
      </c>
      <c r="E359" s="229">
        <v>211.484228</v>
      </c>
      <c r="F359" s="229"/>
      <c r="G359" s="229"/>
      <c r="H359" s="229"/>
      <c r="I359" s="229"/>
      <c r="J359" s="229"/>
      <c r="K359" s="229"/>
      <c r="L359" s="229"/>
      <c r="M359" s="229"/>
      <c r="N359" s="232"/>
    </row>
    <row r="360" hidden="1" spans="1:14">
      <c r="A360" s="235"/>
      <c r="B360" s="230" t="s">
        <v>1031</v>
      </c>
      <c r="C360" s="229">
        <v>3.54</v>
      </c>
      <c r="D360" s="229">
        <v>3.54</v>
      </c>
      <c r="E360" s="229">
        <v>3.54</v>
      </c>
      <c r="F360" s="229"/>
      <c r="G360" s="229"/>
      <c r="H360" s="229"/>
      <c r="I360" s="229"/>
      <c r="J360" s="229"/>
      <c r="K360" s="229"/>
      <c r="L360" s="229"/>
      <c r="M360" s="229"/>
      <c r="N360" s="232"/>
    </row>
    <row r="361" hidden="1" spans="1:14">
      <c r="A361" s="235"/>
      <c r="B361" s="230" t="s">
        <v>1033</v>
      </c>
      <c r="C361" s="229">
        <v>70.218291</v>
      </c>
      <c r="D361" s="229">
        <v>70.218291</v>
      </c>
      <c r="E361" s="229">
        <v>70.218291</v>
      </c>
      <c r="F361" s="229"/>
      <c r="G361" s="229"/>
      <c r="H361" s="229"/>
      <c r="I361" s="229"/>
      <c r="J361" s="229"/>
      <c r="K361" s="229"/>
      <c r="L361" s="229"/>
      <c r="M361" s="229"/>
      <c r="N361" s="232"/>
    </row>
    <row r="362" hidden="1" spans="1:14">
      <c r="A362" s="235"/>
      <c r="B362" s="230" t="s">
        <v>1036</v>
      </c>
      <c r="C362" s="229">
        <v>25.378107</v>
      </c>
      <c r="D362" s="229">
        <v>25.378107</v>
      </c>
      <c r="E362" s="229">
        <v>25.378107</v>
      </c>
      <c r="F362" s="229"/>
      <c r="G362" s="229"/>
      <c r="H362" s="229"/>
      <c r="I362" s="229"/>
      <c r="J362" s="229"/>
      <c r="K362" s="229"/>
      <c r="L362" s="229"/>
      <c r="M362" s="229"/>
      <c r="N362" s="232"/>
    </row>
    <row r="363" hidden="1" spans="1:14">
      <c r="A363" s="235"/>
      <c r="B363" s="230" t="s">
        <v>1028</v>
      </c>
      <c r="C363" s="229">
        <v>52.92</v>
      </c>
      <c r="D363" s="229">
        <v>52.92</v>
      </c>
      <c r="E363" s="229">
        <v>52.92</v>
      </c>
      <c r="F363" s="229"/>
      <c r="G363" s="229"/>
      <c r="H363" s="229"/>
      <c r="I363" s="229"/>
      <c r="J363" s="229"/>
      <c r="K363" s="229"/>
      <c r="L363" s="229"/>
      <c r="M363" s="229"/>
      <c r="N363" s="232"/>
    </row>
    <row r="364" hidden="1" spans="1:14">
      <c r="A364" s="235"/>
      <c r="B364" s="230" t="s">
        <v>1035</v>
      </c>
      <c r="C364" s="229">
        <v>1.8</v>
      </c>
      <c r="D364" s="229">
        <v>1.8</v>
      </c>
      <c r="E364" s="229">
        <v>1.8</v>
      </c>
      <c r="F364" s="229"/>
      <c r="G364" s="229"/>
      <c r="H364" s="229"/>
      <c r="I364" s="229"/>
      <c r="J364" s="229"/>
      <c r="K364" s="229"/>
      <c r="L364" s="229"/>
      <c r="M364" s="229"/>
      <c r="N364" s="232"/>
    </row>
    <row r="365" hidden="1" spans="1:14">
      <c r="A365" s="235"/>
      <c r="B365" s="230" t="s">
        <v>1038</v>
      </c>
      <c r="C365" s="229">
        <v>0.15</v>
      </c>
      <c r="D365" s="229">
        <v>0.15</v>
      </c>
      <c r="E365" s="229">
        <v>0.15</v>
      </c>
      <c r="F365" s="229"/>
      <c r="G365" s="229"/>
      <c r="H365" s="229"/>
      <c r="I365" s="229"/>
      <c r="J365" s="229"/>
      <c r="K365" s="229"/>
      <c r="L365" s="229"/>
      <c r="M365" s="229"/>
      <c r="N365" s="232"/>
    </row>
    <row r="366" hidden="1" spans="1:14">
      <c r="A366" s="235"/>
      <c r="B366" s="230" t="s">
        <v>1039</v>
      </c>
      <c r="C366" s="229">
        <v>4.229685</v>
      </c>
      <c r="D366" s="229">
        <v>4.229685</v>
      </c>
      <c r="E366" s="229">
        <v>4.229685</v>
      </c>
      <c r="F366" s="229"/>
      <c r="G366" s="229"/>
      <c r="H366" s="229"/>
      <c r="I366" s="229"/>
      <c r="J366" s="229"/>
      <c r="K366" s="229"/>
      <c r="L366" s="229"/>
      <c r="M366" s="229"/>
      <c r="N366" s="232"/>
    </row>
    <row r="367" hidden="1" spans="1:14">
      <c r="A367" s="235"/>
      <c r="B367" s="230" t="s">
        <v>1029</v>
      </c>
      <c r="C367" s="229">
        <v>12.96</v>
      </c>
      <c r="D367" s="229">
        <v>12.96</v>
      </c>
      <c r="E367" s="229">
        <v>12.96</v>
      </c>
      <c r="F367" s="229"/>
      <c r="G367" s="229"/>
      <c r="H367" s="229"/>
      <c r="I367" s="229"/>
      <c r="J367" s="229"/>
      <c r="K367" s="229"/>
      <c r="L367" s="229"/>
      <c r="M367" s="229"/>
      <c r="N367" s="232"/>
    </row>
    <row r="368" hidden="1" spans="1:14">
      <c r="A368" s="235"/>
      <c r="B368" s="230" t="s">
        <v>1037</v>
      </c>
      <c r="C368" s="229">
        <v>1.323</v>
      </c>
      <c r="D368" s="229">
        <v>1.323</v>
      </c>
      <c r="E368" s="229">
        <v>1.323</v>
      </c>
      <c r="F368" s="229"/>
      <c r="G368" s="229"/>
      <c r="H368" s="229"/>
      <c r="I368" s="229"/>
      <c r="J368" s="229"/>
      <c r="K368" s="229"/>
      <c r="L368" s="229"/>
      <c r="M368" s="229"/>
      <c r="N368" s="232"/>
    </row>
    <row r="369" spans="1:14">
      <c r="A369" s="227">
        <v>101007</v>
      </c>
      <c r="B369" s="231" t="s">
        <v>644</v>
      </c>
      <c r="C369" s="229">
        <v>84.645779</v>
      </c>
      <c r="D369" s="229">
        <v>84.645779</v>
      </c>
      <c r="E369" s="229">
        <v>84.645779</v>
      </c>
      <c r="F369" s="229"/>
      <c r="G369" s="229"/>
      <c r="H369" s="229"/>
      <c r="I369" s="229"/>
      <c r="J369" s="229"/>
      <c r="K369" s="229"/>
      <c r="L369" s="229"/>
      <c r="M369" s="229"/>
      <c r="N369" s="233" t="s">
        <v>578</v>
      </c>
    </row>
    <row r="370" hidden="1" spans="1:14">
      <c r="A370" s="235"/>
      <c r="B370" s="230" t="s">
        <v>1038</v>
      </c>
      <c r="C370" s="229">
        <v>0.21</v>
      </c>
      <c r="D370" s="229">
        <v>0.21</v>
      </c>
      <c r="E370" s="229">
        <v>0.21</v>
      </c>
      <c r="F370" s="229"/>
      <c r="G370" s="229"/>
      <c r="H370" s="229"/>
      <c r="I370" s="229"/>
      <c r="J370" s="229"/>
      <c r="K370" s="229"/>
      <c r="L370" s="229"/>
      <c r="M370" s="229"/>
      <c r="N370" s="232"/>
    </row>
    <row r="371" hidden="1" spans="1:14">
      <c r="A371" s="235"/>
      <c r="B371" s="230" t="s">
        <v>1039</v>
      </c>
      <c r="C371" s="229">
        <v>0.435464</v>
      </c>
      <c r="D371" s="229">
        <v>0.435464</v>
      </c>
      <c r="E371" s="229">
        <v>0.435464</v>
      </c>
      <c r="F371" s="229"/>
      <c r="G371" s="229"/>
      <c r="H371" s="229"/>
      <c r="I371" s="229"/>
      <c r="J371" s="229"/>
      <c r="K371" s="229"/>
      <c r="L371" s="229"/>
      <c r="M371" s="229"/>
      <c r="N371" s="232"/>
    </row>
    <row r="372" hidden="1" spans="1:14">
      <c r="A372" s="235"/>
      <c r="B372" s="230" t="s">
        <v>1037</v>
      </c>
      <c r="C372" s="229">
        <v>0.9555</v>
      </c>
      <c r="D372" s="229">
        <v>0.9555</v>
      </c>
      <c r="E372" s="229">
        <v>0.9555</v>
      </c>
      <c r="F372" s="229"/>
      <c r="G372" s="229"/>
      <c r="H372" s="229"/>
      <c r="I372" s="229"/>
      <c r="J372" s="229"/>
      <c r="K372" s="229"/>
      <c r="L372" s="229"/>
      <c r="M372" s="229"/>
      <c r="N372" s="232"/>
    </row>
    <row r="373" hidden="1" spans="1:14">
      <c r="A373" s="235"/>
      <c r="B373" s="230" t="s">
        <v>1032</v>
      </c>
      <c r="C373" s="229">
        <v>21.7732</v>
      </c>
      <c r="D373" s="229">
        <v>21.7732</v>
      </c>
      <c r="E373" s="229">
        <v>21.7732</v>
      </c>
      <c r="F373" s="229"/>
      <c r="G373" s="229"/>
      <c r="H373" s="229"/>
      <c r="I373" s="229"/>
      <c r="J373" s="229"/>
      <c r="K373" s="229"/>
      <c r="L373" s="229"/>
      <c r="M373" s="229"/>
      <c r="N373" s="232"/>
    </row>
    <row r="374" hidden="1" spans="1:14">
      <c r="A374" s="235"/>
      <c r="B374" s="230" t="s">
        <v>1033</v>
      </c>
      <c r="C374" s="229">
        <v>16.504831</v>
      </c>
      <c r="D374" s="229">
        <v>16.504831</v>
      </c>
      <c r="E374" s="229">
        <v>16.504831</v>
      </c>
      <c r="F374" s="229"/>
      <c r="G374" s="229"/>
      <c r="H374" s="229"/>
      <c r="I374" s="229"/>
      <c r="J374" s="229"/>
      <c r="K374" s="229"/>
      <c r="L374" s="229"/>
      <c r="M374" s="229"/>
      <c r="N374" s="232"/>
    </row>
    <row r="375" hidden="1" spans="1:14">
      <c r="A375" s="235"/>
      <c r="B375" s="230" t="s">
        <v>1029</v>
      </c>
      <c r="C375" s="229">
        <v>1.62</v>
      </c>
      <c r="D375" s="229">
        <v>1.62</v>
      </c>
      <c r="E375" s="229">
        <v>1.62</v>
      </c>
      <c r="F375" s="229"/>
      <c r="G375" s="229"/>
      <c r="H375" s="229"/>
      <c r="I375" s="229"/>
      <c r="J375" s="229"/>
      <c r="K375" s="229"/>
      <c r="L375" s="229"/>
      <c r="M375" s="229"/>
      <c r="N375" s="232"/>
    </row>
    <row r="376" hidden="1" spans="1:14">
      <c r="A376" s="235"/>
      <c r="B376" s="230" t="s">
        <v>1034</v>
      </c>
      <c r="C376" s="229">
        <v>1.014</v>
      </c>
      <c r="D376" s="229">
        <v>1.014</v>
      </c>
      <c r="E376" s="229">
        <v>1.014</v>
      </c>
      <c r="F376" s="229"/>
      <c r="G376" s="229"/>
      <c r="H376" s="229"/>
      <c r="I376" s="229"/>
      <c r="J376" s="229"/>
      <c r="K376" s="229"/>
      <c r="L376" s="229"/>
      <c r="M376" s="229"/>
      <c r="N376" s="232"/>
    </row>
    <row r="377" hidden="1" spans="1:14">
      <c r="A377" s="235"/>
      <c r="B377" s="230" t="s">
        <v>1028</v>
      </c>
      <c r="C377" s="229">
        <v>38.22</v>
      </c>
      <c r="D377" s="229">
        <v>38.22</v>
      </c>
      <c r="E377" s="229">
        <v>38.22</v>
      </c>
      <c r="F377" s="229"/>
      <c r="G377" s="229"/>
      <c r="H377" s="229"/>
      <c r="I377" s="229"/>
      <c r="J377" s="229"/>
      <c r="K377" s="229"/>
      <c r="L377" s="229"/>
      <c r="M377" s="229"/>
      <c r="N377" s="232"/>
    </row>
    <row r="378" hidden="1" spans="1:14">
      <c r="A378" s="235"/>
      <c r="B378" s="230" t="s">
        <v>1036</v>
      </c>
      <c r="C378" s="229">
        <v>2.612784</v>
      </c>
      <c r="D378" s="229">
        <v>2.612784</v>
      </c>
      <c r="E378" s="229">
        <v>2.612784</v>
      </c>
      <c r="F378" s="229"/>
      <c r="G378" s="229"/>
      <c r="H378" s="229"/>
      <c r="I378" s="229"/>
      <c r="J378" s="229"/>
      <c r="K378" s="229"/>
      <c r="L378" s="229"/>
      <c r="M378" s="229"/>
      <c r="N378" s="232"/>
    </row>
    <row r="379" hidden="1" spans="1:14">
      <c r="A379" s="235"/>
      <c r="B379" s="230" t="s">
        <v>1035</v>
      </c>
      <c r="C379" s="229">
        <v>1.3</v>
      </c>
      <c r="D379" s="229">
        <v>1.3</v>
      </c>
      <c r="E379" s="229">
        <v>1.3</v>
      </c>
      <c r="F379" s="229"/>
      <c r="G379" s="229"/>
      <c r="H379" s="229"/>
      <c r="I379" s="229"/>
      <c r="J379" s="229"/>
      <c r="K379" s="229"/>
      <c r="L379" s="229"/>
      <c r="M379" s="229"/>
      <c r="N379" s="232"/>
    </row>
    <row r="380" spans="1:14">
      <c r="A380" s="227">
        <v>101008</v>
      </c>
      <c r="B380" s="231" t="s">
        <v>646</v>
      </c>
      <c r="C380" s="229">
        <v>559.061728</v>
      </c>
      <c r="D380" s="229">
        <v>559.061728</v>
      </c>
      <c r="E380" s="229">
        <v>559.061728</v>
      </c>
      <c r="F380" s="229"/>
      <c r="G380" s="229"/>
      <c r="H380" s="229"/>
      <c r="I380" s="229"/>
      <c r="J380" s="229"/>
      <c r="K380" s="229"/>
      <c r="L380" s="229"/>
      <c r="M380" s="229"/>
      <c r="N380" s="233" t="s">
        <v>578</v>
      </c>
    </row>
    <row r="381" hidden="1" spans="1:14">
      <c r="A381" s="235"/>
      <c r="B381" s="230" t="s">
        <v>1029</v>
      </c>
      <c r="C381" s="229">
        <v>23.18</v>
      </c>
      <c r="D381" s="229">
        <v>23.18</v>
      </c>
      <c r="E381" s="229">
        <v>23.18</v>
      </c>
      <c r="F381" s="229"/>
      <c r="G381" s="229"/>
      <c r="H381" s="229"/>
      <c r="I381" s="229"/>
      <c r="J381" s="229"/>
      <c r="K381" s="229"/>
      <c r="L381" s="229"/>
      <c r="M381" s="229"/>
      <c r="N381" s="232"/>
    </row>
    <row r="382" hidden="1" spans="1:14">
      <c r="A382" s="235"/>
      <c r="B382" s="230" t="s">
        <v>1033</v>
      </c>
      <c r="C382" s="229">
        <v>94.251792</v>
      </c>
      <c r="D382" s="229">
        <v>94.251792</v>
      </c>
      <c r="E382" s="229">
        <v>94.251792</v>
      </c>
      <c r="F382" s="229"/>
      <c r="G382" s="229"/>
      <c r="H382" s="229"/>
      <c r="I382" s="229"/>
      <c r="J382" s="229"/>
      <c r="K382" s="229"/>
      <c r="L382" s="229"/>
      <c r="M382" s="229"/>
      <c r="N382" s="232"/>
    </row>
    <row r="383" hidden="1" spans="1:14">
      <c r="A383" s="235"/>
      <c r="B383" s="230" t="s">
        <v>1036</v>
      </c>
      <c r="C383" s="229">
        <v>28.510668</v>
      </c>
      <c r="D383" s="229">
        <v>28.510668</v>
      </c>
      <c r="E383" s="229">
        <v>28.510668</v>
      </c>
      <c r="F383" s="229"/>
      <c r="G383" s="229"/>
      <c r="H383" s="229"/>
      <c r="I383" s="229"/>
      <c r="J383" s="229"/>
      <c r="K383" s="229"/>
      <c r="L383" s="229"/>
      <c r="M383" s="229"/>
      <c r="N383" s="232"/>
    </row>
    <row r="384" hidden="1" spans="1:14">
      <c r="A384" s="235"/>
      <c r="B384" s="230" t="s">
        <v>1028</v>
      </c>
      <c r="C384" s="229">
        <v>133.554</v>
      </c>
      <c r="D384" s="229">
        <v>133.554</v>
      </c>
      <c r="E384" s="229">
        <v>133.554</v>
      </c>
      <c r="F384" s="229"/>
      <c r="G384" s="229"/>
      <c r="H384" s="229"/>
      <c r="I384" s="229"/>
      <c r="J384" s="229"/>
      <c r="K384" s="229"/>
      <c r="L384" s="229"/>
      <c r="M384" s="229"/>
      <c r="N384" s="232"/>
    </row>
    <row r="385" hidden="1" spans="1:14">
      <c r="A385" s="235"/>
      <c r="B385" s="230" t="s">
        <v>1034</v>
      </c>
      <c r="C385" s="229">
        <v>4.056</v>
      </c>
      <c r="D385" s="229">
        <v>4.056</v>
      </c>
      <c r="E385" s="229">
        <v>4.056</v>
      </c>
      <c r="F385" s="229"/>
      <c r="G385" s="229"/>
      <c r="H385" s="229"/>
      <c r="I385" s="229"/>
      <c r="J385" s="229"/>
      <c r="K385" s="229"/>
      <c r="L385" s="229"/>
      <c r="M385" s="229"/>
      <c r="N385" s="232"/>
    </row>
    <row r="386" hidden="1" spans="1:14">
      <c r="A386" s="235"/>
      <c r="B386" s="230" t="s">
        <v>1038</v>
      </c>
      <c r="C386" s="229">
        <v>0.914</v>
      </c>
      <c r="D386" s="229">
        <v>0.914</v>
      </c>
      <c r="E386" s="229">
        <v>0.914</v>
      </c>
      <c r="F386" s="229"/>
      <c r="G386" s="229"/>
      <c r="H386" s="229"/>
      <c r="I386" s="229"/>
      <c r="J386" s="229"/>
      <c r="K386" s="229"/>
      <c r="L386" s="229"/>
      <c r="M386" s="229"/>
      <c r="N386" s="232"/>
    </row>
    <row r="387" hidden="1" spans="1:14">
      <c r="A387" s="235"/>
      <c r="B387" s="230" t="s">
        <v>1035</v>
      </c>
      <c r="C387" s="229">
        <v>4.48</v>
      </c>
      <c r="D387" s="229">
        <v>4.48</v>
      </c>
      <c r="E387" s="229">
        <v>4.48</v>
      </c>
      <c r="F387" s="229"/>
      <c r="G387" s="229"/>
      <c r="H387" s="229"/>
      <c r="I387" s="229"/>
      <c r="J387" s="229"/>
      <c r="K387" s="229"/>
      <c r="L387" s="229"/>
      <c r="M387" s="229"/>
      <c r="N387" s="232"/>
    </row>
    <row r="388" hidden="1" spans="1:14">
      <c r="A388" s="235"/>
      <c r="B388" s="230" t="s">
        <v>1039</v>
      </c>
      <c r="C388" s="229">
        <v>4.751778</v>
      </c>
      <c r="D388" s="229">
        <v>4.751778</v>
      </c>
      <c r="E388" s="229">
        <v>4.751778</v>
      </c>
      <c r="F388" s="229"/>
      <c r="G388" s="229"/>
      <c r="H388" s="229"/>
      <c r="I388" s="229"/>
      <c r="J388" s="229"/>
      <c r="K388" s="229"/>
      <c r="L388" s="229"/>
      <c r="M388" s="229"/>
      <c r="N388" s="232"/>
    </row>
    <row r="389" hidden="1" spans="1:14">
      <c r="A389" s="235"/>
      <c r="B389" s="230" t="s">
        <v>1031</v>
      </c>
      <c r="C389" s="229">
        <v>4.08</v>
      </c>
      <c r="D389" s="229">
        <v>4.08</v>
      </c>
      <c r="E389" s="229">
        <v>4.08</v>
      </c>
      <c r="F389" s="229"/>
      <c r="G389" s="229"/>
      <c r="H389" s="229"/>
      <c r="I389" s="229"/>
      <c r="J389" s="229"/>
      <c r="K389" s="229"/>
      <c r="L389" s="229"/>
      <c r="M389" s="229"/>
      <c r="N389" s="232"/>
    </row>
    <row r="390" hidden="1" spans="1:14">
      <c r="A390" s="235"/>
      <c r="B390" s="230" t="s">
        <v>1027</v>
      </c>
      <c r="C390" s="229">
        <v>6</v>
      </c>
      <c r="D390" s="229">
        <v>6</v>
      </c>
      <c r="E390" s="229">
        <v>6</v>
      </c>
      <c r="F390" s="229"/>
      <c r="G390" s="229"/>
      <c r="H390" s="229"/>
      <c r="I390" s="229"/>
      <c r="J390" s="229"/>
      <c r="K390" s="229"/>
      <c r="L390" s="229"/>
      <c r="M390" s="229"/>
      <c r="N390" s="232"/>
    </row>
    <row r="391" hidden="1" spans="1:14">
      <c r="A391" s="235"/>
      <c r="B391" s="230" t="s">
        <v>1042</v>
      </c>
      <c r="C391" s="229">
        <v>0.34</v>
      </c>
      <c r="D391" s="229">
        <v>0.34</v>
      </c>
      <c r="E391" s="229">
        <v>0.34</v>
      </c>
      <c r="F391" s="229"/>
      <c r="G391" s="229"/>
      <c r="H391" s="229"/>
      <c r="I391" s="229"/>
      <c r="J391" s="229"/>
      <c r="K391" s="229"/>
      <c r="L391" s="229"/>
      <c r="M391" s="229"/>
      <c r="N391" s="232"/>
    </row>
    <row r="392" hidden="1" spans="1:14">
      <c r="A392" s="235"/>
      <c r="B392" s="230" t="s">
        <v>1032</v>
      </c>
      <c r="C392" s="229">
        <v>237.5889</v>
      </c>
      <c r="D392" s="229">
        <v>237.5889</v>
      </c>
      <c r="E392" s="229">
        <v>237.5889</v>
      </c>
      <c r="F392" s="229"/>
      <c r="G392" s="229"/>
      <c r="H392" s="229"/>
      <c r="I392" s="229"/>
      <c r="J392" s="229"/>
      <c r="K392" s="229"/>
      <c r="L392" s="229"/>
      <c r="M392" s="229"/>
      <c r="N392" s="232"/>
    </row>
    <row r="393" hidden="1" spans="1:14">
      <c r="A393" s="235"/>
      <c r="B393" s="230" t="s">
        <v>1037</v>
      </c>
      <c r="C393" s="229">
        <v>17.35459</v>
      </c>
      <c r="D393" s="229">
        <v>17.35459</v>
      </c>
      <c r="E393" s="229">
        <v>17.35459</v>
      </c>
      <c r="F393" s="229"/>
      <c r="G393" s="229"/>
      <c r="H393" s="229"/>
      <c r="I393" s="229"/>
      <c r="J393" s="229"/>
      <c r="K393" s="229"/>
      <c r="L393" s="229"/>
      <c r="M393" s="229"/>
      <c r="N393" s="232"/>
    </row>
    <row r="394" spans="1:14">
      <c r="A394" s="227">
        <v>101010</v>
      </c>
      <c r="B394" s="231" t="s">
        <v>648</v>
      </c>
      <c r="C394" s="229">
        <v>456.349382</v>
      </c>
      <c r="D394" s="229">
        <v>456.349382</v>
      </c>
      <c r="E394" s="229">
        <v>456.349382</v>
      </c>
      <c r="F394" s="229"/>
      <c r="G394" s="229"/>
      <c r="H394" s="229"/>
      <c r="I394" s="229"/>
      <c r="J394" s="229"/>
      <c r="K394" s="229"/>
      <c r="L394" s="229"/>
      <c r="M394" s="229"/>
      <c r="N394" s="233" t="s">
        <v>578</v>
      </c>
    </row>
    <row r="395" hidden="1" spans="1:14">
      <c r="A395" s="235"/>
      <c r="B395" s="230" t="s">
        <v>1035</v>
      </c>
      <c r="C395" s="229">
        <v>2.2</v>
      </c>
      <c r="D395" s="229">
        <v>2.2</v>
      </c>
      <c r="E395" s="229">
        <v>2.2</v>
      </c>
      <c r="F395" s="229"/>
      <c r="G395" s="229"/>
      <c r="H395" s="229"/>
      <c r="I395" s="229"/>
      <c r="J395" s="229"/>
      <c r="K395" s="229"/>
      <c r="L395" s="229"/>
      <c r="M395" s="229"/>
      <c r="N395" s="232"/>
    </row>
    <row r="396" hidden="1" spans="1:14">
      <c r="A396" s="235"/>
      <c r="B396" s="230" t="s">
        <v>1038</v>
      </c>
      <c r="C396" s="229">
        <v>0.54</v>
      </c>
      <c r="D396" s="229">
        <v>0.54</v>
      </c>
      <c r="E396" s="229">
        <v>0.54</v>
      </c>
      <c r="F396" s="229"/>
      <c r="G396" s="229"/>
      <c r="H396" s="229"/>
      <c r="I396" s="229"/>
      <c r="J396" s="229"/>
      <c r="K396" s="229"/>
      <c r="L396" s="229"/>
      <c r="M396" s="229"/>
      <c r="N396" s="232"/>
    </row>
    <row r="397" hidden="1" spans="1:14">
      <c r="A397" s="235"/>
      <c r="B397" s="230" t="s">
        <v>1039</v>
      </c>
      <c r="C397" s="229">
        <v>4.727894</v>
      </c>
      <c r="D397" s="229">
        <v>4.727894</v>
      </c>
      <c r="E397" s="229">
        <v>4.727894</v>
      </c>
      <c r="F397" s="229"/>
      <c r="G397" s="229"/>
      <c r="H397" s="229"/>
      <c r="I397" s="229"/>
      <c r="J397" s="229"/>
      <c r="K397" s="229"/>
      <c r="L397" s="229"/>
      <c r="M397" s="229"/>
      <c r="N397" s="232"/>
    </row>
    <row r="398" hidden="1" spans="1:14">
      <c r="A398" s="235"/>
      <c r="B398" s="230" t="s">
        <v>1028</v>
      </c>
      <c r="C398" s="229">
        <v>63.57</v>
      </c>
      <c r="D398" s="229">
        <v>63.57</v>
      </c>
      <c r="E398" s="229">
        <v>63.57</v>
      </c>
      <c r="F398" s="229"/>
      <c r="G398" s="229"/>
      <c r="H398" s="229"/>
      <c r="I398" s="229"/>
      <c r="J398" s="229"/>
      <c r="K398" s="229"/>
      <c r="L398" s="229"/>
      <c r="M398" s="229"/>
      <c r="N398" s="232"/>
    </row>
    <row r="399" hidden="1" spans="1:14">
      <c r="A399" s="235"/>
      <c r="B399" s="230" t="s">
        <v>1046</v>
      </c>
      <c r="C399" s="229">
        <v>0.324</v>
      </c>
      <c r="D399" s="229">
        <v>0.324</v>
      </c>
      <c r="E399" s="229">
        <v>0.324</v>
      </c>
      <c r="F399" s="229"/>
      <c r="G399" s="229"/>
      <c r="H399" s="229"/>
      <c r="I399" s="229"/>
      <c r="J399" s="229"/>
      <c r="K399" s="229"/>
      <c r="L399" s="229"/>
      <c r="M399" s="229"/>
      <c r="N399" s="232"/>
    </row>
    <row r="400" hidden="1" spans="1:14">
      <c r="A400" s="235"/>
      <c r="B400" s="230" t="s">
        <v>1037</v>
      </c>
      <c r="C400" s="229">
        <v>1.58925</v>
      </c>
      <c r="D400" s="229">
        <v>1.58925</v>
      </c>
      <c r="E400" s="229">
        <v>1.58925</v>
      </c>
      <c r="F400" s="229"/>
      <c r="G400" s="229"/>
      <c r="H400" s="229"/>
      <c r="I400" s="229"/>
      <c r="J400" s="229"/>
      <c r="K400" s="229"/>
      <c r="L400" s="229"/>
      <c r="M400" s="229"/>
      <c r="N400" s="232"/>
    </row>
    <row r="401" hidden="1" spans="1:14">
      <c r="A401" s="235"/>
      <c r="B401" s="230" t="s">
        <v>1033</v>
      </c>
      <c r="C401" s="229">
        <v>78.202174</v>
      </c>
      <c r="D401" s="229">
        <v>78.202174</v>
      </c>
      <c r="E401" s="229">
        <v>78.202174</v>
      </c>
      <c r="F401" s="229"/>
      <c r="G401" s="229"/>
      <c r="H401" s="229"/>
      <c r="I401" s="229"/>
      <c r="J401" s="229"/>
      <c r="K401" s="229"/>
      <c r="L401" s="229"/>
      <c r="M401" s="229"/>
      <c r="N401" s="232"/>
    </row>
    <row r="402" hidden="1" spans="1:14">
      <c r="A402" s="235"/>
      <c r="B402" s="230" t="s">
        <v>1032</v>
      </c>
      <c r="C402" s="229">
        <v>236.3947</v>
      </c>
      <c r="D402" s="229">
        <v>236.3947</v>
      </c>
      <c r="E402" s="229">
        <v>236.3947</v>
      </c>
      <c r="F402" s="229"/>
      <c r="G402" s="229"/>
      <c r="H402" s="229"/>
      <c r="I402" s="229"/>
      <c r="J402" s="229"/>
      <c r="K402" s="229"/>
      <c r="L402" s="229"/>
      <c r="M402" s="229"/>
      <c r="N402" s="232"/>
    </row>
    <row r="403" hidden="1" spans="1:14">
      <c r="A403" s="235"/>
      <c r="B403" s="230" t="s">
        <v>1029</v>
      </c>
      <c r="C403" s="229">
        <v>23.18</v>
      </c>
      <c r="D403" s="229">
        <v>23.18</v>
      </c>
      <c r="E403" s="229">
        <v>23.18</v>
      </c>
      <c r="F403" s="229"/>
      <c r="G403" s="229"/>
      <c r="H403" s="229"/>
      <c r="I403" s="229"/>
      <c r="J403" s="229"/>
      <c r="K403" s="229"/>
      <c r="L403" s="229"/>
      <c r="M403" s="229"/>
      <c r="N403" s="232"/>
    </row>
    <row r="404" hidden="1" spans="1:14">
      <c r="A404" s="235"/>
      <c r="B404" s="230" t="s">
        <v>1031</v>
      </c>
      <c r="C404" s="229">
        <v>6.24</v>
      </c>
      <c r="D404" s="229">
        <v>6.24</v>
      </c>
      <c r="E404" s="229">
        <v>6.24</v>
      </c>
      <c r="F404" s="229"/>
      <c r="G404" s="229"/>
      <c r="H404" s="229"/>
      <c r="I404" s="229"/>
      <c r="J404" s="229"/>
      <c r="K404" s="229"/>
      <c r="L404" s="229"/>
      <c r="M404" s="229"/>
      <c r="N404" s="232"/>
    </row>
    <row r="405" hidden="1" spans="1:14">
      <c r="A405" s="235"/>
      <c r="B405" s="230" t="s">
        <v>1030</v>
      </c>
      <c r="C405" s="229">
        <v>4</v>
      </c>
      <c r="D405" s="229">
        <v>4</v>
      </c>
      <c r="E405" s="229">
        <v>4</v>
      </c>
      <c r="F405" s="229"/>
      <c r="G405" s="229"/>
      <c r="H405" s="229"/>
      <c r="I405" s="229"/>
      <c r="J405" s="229"/>
      <c r="K405" s="229"/>
      <c r="L405" s="229"/>
      <c r="M405" s="229"/>
      <c r="N405" s="232"/>
    </row>
    <row r="406" hidden="1" spans="1:14">
      <c r="A406" s="235"/>
      <c r="B406" s="230" t="s">
        <v>1036</v>
      </c>
      <c r="C406" s="229">
        <v>28.367364</v>
      </c>
      <c r="D406" s="229">
        <v>28.367364</v>
      </c>
      <c r="E406" s="229">
        <v>28.367364</v>
      </c>
      <c r="F406" s="229"/>
      <c r="G406" s="229"/>
      <c r="H406" s="229"/>
      <c r="I406" s="229"/>
      <c r="J406" s="229"/>
      <c r="K406" s="229"/>
      <c r="L406" s="229"/>
      <c r="M406" s="229"/>
      <c r="N406" s="232"/>
    </row>
    <row r="407" hidden="1" spans="1:14">
      <c r="A407" s="235"/>
      <c r="B407" s="230" t="s">
        <v>1034</v>
      </c>
      <c r="C407" s="229">
        <v>1.014</v>
      </c>
      <c r="D407" s="229">
        <v>1.014</v>
      </c>
      <c r="E407" s="229">
        <v>1.014</v>
      </c>
      <c r="F407" s="229"/>
      <c r="G407" s="229"/>
      <c r="H407" s="229"/>
      <c r="I407" s="229"/>
      <c r="J407" s="229"/>
      <c r="K407" s="229"/>
      <c r="L407" s="229"/>
      <c r="M407" s="229"/>
      <c r="N407" s="232"/>
    </row>
    <row r="408" hidden="1" spans="1:14">
      <c r="A408" s="235"/>
      <c r="B408" s="230" t="s">
        <v>1027</v>
      </c>
      <c r="C408" s="229">
        <v>6</v>
      </c>
      <c r="D408" s="229">
        <v>6</v>
      </c>
      <c r="E408" s="229">
        <v>6</v>
      </c>
      <c r="F408" s="229"/>
      <c r="G408" s="229"/>
      <c r="H408" s="229"/>
      <c r="I408" s="229"/>
      <c r="J408" s="229"/>
      <c r="K408" s="229"/>
      <c r="L408" s="229"/>
      <c r="M408" s="229"/>
      <c r="N408" s="232"/>
    </row>
    <row r="409" spans="1:14">
      <c r="A409" s="227">
        <v>101011</v>
      </c>
      <c r="B409" s="231" t="s">
        <v>650</v>
      </c>
      <c r="C409" s="229">
        <v>265.86205</v>
      </c>
      <c r="D409" s="229">
        <v>265.86205</v>
      </c>
      <c r="E409" s="229">
        <v>265.86205</v>
      </c>
      <c r="F409" s="229"/>
      <c r="G409" s="229"/>
      <c r="H409" s="229"/>
      <c r="I409" s="229"/>
      <c r="J409" s="229"/>
      <c r="K409" s="229"/>
      <c r="L409" s="229"/>
      <c r="M409" s="229"/>
      <c r="N409" s="233" t="s">
        <v>578</v>
      </c>
    </row>
    <row r="410" hidden="1" spans="1:14">
      <c r="A410" s="235"/>
      <c r="B410" s="230" t="s">
        <v>1036</v>
      </c>
      <c r="C410" s="229">
        <v>20.670312</v>
      </c>
      <c r="D410" s="229">
        <v>20.670312</v>
      </c>
      <c r="E410" s="229">
        <v>20.670312</v>
      </c>
      <c r="F410" s="229"/>
      <c r="G410" s="229"/>
      <c r="H410" s="229"/>
      <c r="I410" s="229"/>
      <c r="J410" s="229"/>
      <c r="K410" s="229"/>
      <c r="L410" s="229"/>
      <c r="M410" s="229"/>
      <c r="N410" s="232"/>
    </row>
    <row r="411" hidden="1" spans="1:14">
      <c r="A411" s="235"/>
      <c r="B411" s="230" t="s">
        <v>1033</v>
      </c>
      <c r="C411" s="229">
        <v>47.094086</v>
      </c>
      <c r="D411" s="229">
        <v>47.094086</v>
      </c>
      <c r="E411" s="229">
        <v>47.094086</v>
      </c>
      <c r="F411" s="229"/>
      <c r="G411" s="229"/>
      <c r="H411" s="229"/>
      <c r="I411" s="229"/>
      <c r="J411" s="229"/>
      <c r="K411" s="229"/>
      <c r="L411" s="229"/>
      <c r="M411" s="229"/>
      <c r="N411" s="232"/>
    </row>
    <row r="412" hidden="1" spans="1:14">
      <c r="A412" s="235"/>
      <c r="B412" s="230" t="s">
        <v>1027</v>
      </c>
      <c r="C412" s="229">
        <v>2</v>
      </c>
      <c r="D412" s="229">
        <v>2</v>
      </c>
      <c r="E412" s="229">
        <v>2</v>
      </c>
      <c r="F412" s="229"/>
      <c r="G412" s="229"/>
      <c r="H412" s="229"/>
      <c r="I412" s="229"/>
      <c r="J412" s="229"/>
      <c r="K412" s="229"/>
      <c r="L412" s="229"/>
      <c r="M412" s="229"/>
      <c r="N412" s="232"/>
    </row>
    <row r="413" hidden="1" spans="1:14">
      <c r="A413" s="235"/>
      <c r="B413" s="230" t="s">
        <v>1039</v>
      </c>
      <c r="C413" s="229">
        <v>3.445052</v>
      </c>
      <c r="D413" s="229">
        <v>3.445052</v>
      </c>
      <c r="E413" s="229">
        <v>3.445052</v>
      </c>
      <c r="F413" s="229"/>
      <c r="G413" s="229"/>
      <c r="H413" s="229"/>
      <c r="I413" s="229"/>
      <c r="J413" s="229"/>
      <c r="K413" s="229"/>
      <c r="L413" s="229"/>
      <c r="M413" s="229"/>
      <c r="N413" s="232"/>
    </row>
    <row r="414" hidden="1" spans="1:14">
      <c r="A414" s="235"/>
      <c r="B414" s="230" t="s">
        <v>1032</v>
      </c>
      <c r="C414" s="229">
        <v>172.2526</v>
      </c>
      <c r="D414" s="229">
        <v>172.2526</v>
      </c>
      <c r="E414" s="229">
        <v>172.2526</v>
      </c>
      <c r="F414" s="229"/>
      <c r="G414" s="229"/>
      <c r="H414" s="229"/>
      <c r="I414" s="229"/>
      <c r="J414" s="229"/>
      <c r="K414" s="229"/>
      <c r="L414" s="229"/>
      <c r="M414" s="229"/>
      <c r="N414" s="232"/>
    </row>
    <row r="415" hidden="1" spans="1:14">
      <c r="A415" s="235"/>
      <c r="B415" s="230" t="s">
        <v>1029</v>
      </c>
      <c r="C415" s="229">
        <v>18.3</v>
      </c>
      <c r="D415" s="229">
        <v>18.3</v>
      </c>
      <c r="E415" s="229">
        <v>18.3</v>
      </c>
      <c r="F415" s="229"/>
      <c r="G415" s="229"/>
      <c r="H415" s="229"/>
      <c r="I415" s="229"/>
      <c r="J415" s="229"/>
      <c r="K415" s="229"/>
      <c r="L415" s="229"/>
      <c r="M415" s="229"/>
      <c r="N415" s="232"/>
    </row>
    <row r="416" hidden="1" spans="1:14">
      <c r="A416" s="235"/>
      <c r="B416" s="230" t="s">
        <v>1031</v>
      </c>
      <c r="C416" s="229">
        <v>2.1</v>
      </c>
      <c r="D416" s="229">
        <v>2.1</v>
      </c>
      <c r="E416" s="229">
        <v>2.1</v>
      </c>
      <c r="F416" s="229"/>
      <c r="G416" s="229"/>
      <c r="H416" s="229"/>
      <c r="I416" s="229"/>
      <c r="J416" s="229"/>
      <c r="K416" s="229"/>
      <c r="L416" s="229"/>
      <c r="M416" s="229"/>
      <c r="N416" s="232"/>
    </row>
    <row r="417" spans="1:14">
      <c r="A417" s="227">
        <v>101012</v>
      </c>
      <c r="B417" s="231" t="s">
        <v>652</v>
      </c>
      <c r="C417" s="229">
        <v>318.150613</v>
      </c>
      <c r="D417" s="229">
        <v>318.150613</v>
      </c>
      <c r="E417" s="229">
        <v>318.150613</v>
      </c>
      <c r="F417" s="229"/>
      <c r="G417" s="229"/>
      <c r="H417" s="229"/>
      <c r="I417" s="229"/>
      <c r="J417" s="229"/>
      <c r="K417" s="229"/>
      <c r="L417" s="229"/>
      <c r="M417" s="229"/>
      <c r="N417" s="233" t="s">
        <v>578</v>
      </c>
    </row>
    <row r="418" hidden="1" spans="1:14">
      <c r="A418" s="235"/>
      <c r="B418" s="230" t="s">
        <v>1035</v>
      </c>
      <c r="C418" s="229">
        <v>1</v>
      </c>
      <c r="D418" s="229">
        <v>1</v>
      </c>
      <c r="E418" s="229">
        <v>1</v>
      </c>
      <c r="F418" s="229"/>
      <c r="G418" s="229"/>
      <c r="H418" s="229"/>
      <c r="I418" s="229"/>
      <c r="J418" s="229"/>
      <c r="K418" s="229"/>
      <c r="L418" s="229"/>
      <c r="M418" s="229"/>
      <c r="N418" s="232"/>
    </row>
    <row r="419" hidden="1" spans="1:14">
      <c r="A419" s="235"/>
      <c r="B419" s="230" t="s">
        <v>1038</v>
      </c>
      <c r="C419" s="229">
        <v>0.24</v>
      </c>
      <c r="D419" s="229">
        <v>0.24</v>
      </c>
      <c r="E419" s="229">
        <v>0.24</v>
      </c>
      <c r="F419" s="229"/>
      <c r="G419" s="229"/>
      <c r="H419" s="229"/>
      <c r="I419" s="229"/>
      <c r="J419" s="229"/>
      <c r="K419" s="229"/>
      <c r="L419" s="229"/>
      <c r="M419" s="229"/>
      <c r="N419" s="232"/>
    </row>
    <row r="420" hidden="1" spans="1:14">
      <c r="A420" s="235"/>
      <c r="B420" s="230" t="s">
        <v>1027</v>
      </c>
      <c r="C420" s="229">
        <v>4</v>
      </c>
      <c r="D420" s="229">
        <v>4</v>
      </c>
      <c r="E420" s="229">
        <v>4</v>
      </c>
      <c r="F420" s="229"/>
      <c r="G420" s="229"/>
      <c r="H420" s="229"/>
      <c r="I420" s="229"/>
      <c r="J420" s="229"/>
      <c r="K420" s="229"/>
      <c r="L420" s="229"/>
      <c r="M420" s="229"/>
      <c r="N420" s="232"/>
    </row>
    <row r="421" hidden="1" spans="1:14">
      <c r="A421" s="235"/>
      <c r="B421" s="230" t="s">
        <v>1036</v>
      </c>
      <c r="C421" s="229">
        <v>21.20901</v>
      </c>
      <c r="D421" s="229">
        <v>21.20901</v>
      </c>
      <c r="E421" s="229">
        <v>21.20901</v>
      </c>
      <c r="F421" s="229"/>
      <c r="G421" s="229"/>
      <c r="H421" s="229"/>
      <c r="I421" s="229"/>
      <c r="J421" s="229"/>
      <c r="K421" s="229"/>
      <c r="L421" s="229"/>
      <c r="M421" s="229"/>
      <c r="N421" s="232"/>
    </row>
    <row r="422" hidden="1" spans="1:14">
      <c r="A422" s="235"/>
      <c r="B422" s="230" t="s">
        <v>1028</v>
      </c>
      <c r="C422" s="229">
        <v>29.71284</v>
      </c>
      <c r="D422" s="229">
        <v>29.71284</v>
      </c>
      <c r="E422" s="229">
        <v>29.71284</v>
      </c>
      <c r="F422" s="229"/>
      <c r="G422" s="229"/>
      <c r="H422" s="229"/>
      <c r="I422" s="229"/>
      <c r="J422" s="229"/>
      <c r="K422" s="229"/>
      <c r="L422" s="229"/>
      <c r="M422" s="229"/>
      <c r="N422" s="232"/>
    </row>
    <row r="423" hidden="1" spans="1:14">
      <c r="A423" s="235"/>
      <c r="B423" s="230" t="s">
        <v>1037</v>
      </c>
      <c r="C423" s="229">
        <v>0.742821</v>
      </c>
      <c r="D423" s="229">
        <v>0.742821</v>
      </c>
      <c r="E423" s="229">
        <v>0.742821</v>
      </c>
      <c r="F423" s="229"/>
      <c r="G423" s="229"/>
      <c r="H423" s="229"/>
      <c r="I423" s="229"/>
      <c r="J423" s="229"/>
      <c r="K423" s="229"/>
      <c r="L423" s="229"/>
      <c r="M423" s="229"/>
      <c r="N423" s="232"/>
    </row>
    <row r="424" hidden="1" spans="1:14">
      <c r="A424" s="235"/>
      <c r="B424" s="230" t="s">
        <v>1031</v>
      </c>
      <c r="C424" s="229">
        <v>8.58</v>
      </c>
      <c r="D424" s="229">
        <v>8.58</v>
      </c>
      <c r="E424" s="229">
        <v>8.58</v>
      </c>
      <c r="F424" s="229"/>
      <c r="G424" s="229"/>
      <c r="H424" s="229"/>
      <c r="I424" s="229"/>
      <c r="J424" s="229"/>
      <c r="K424" s="229"/>
      <c r="L424" s="229"/>
      <c r="M424" s="229"/>
      <c r="N424" s="232"/>
    </row>
    <row r="425" hidden="1" spans="1:14">
      <c r="A425" s="235"/>
      <c r="B425" s="230" t="s">
        <v>1032</v>
      </c>
      <c r="C425" s="229">
        <v>176.741752</v>
      </c>
      <c r="D425" s="229">
        <v>176.741752</v>
      </c>
      <c r="E425" s="229">
        <v>176.741752</v>
      </c>
      <c r="F425" s="229"/>
      <c r="G425" s="229"/>
      <c r="H425" s="229"/>
      <c r="I425" s="229"/>
      <c r="J425" s="229"/>
      <c r="K425" s="229"/>
      <c r="L425" s="229"/>
      <c r="M425" s="229"/>
      <c r="N425" s="232"/>
    </row>
    <row r="426" hidden="1" spans="1:14">
      <c r="A426" s="235"/>
      <c r="B426" s="230" t="s">
        <v>1029</v>
      </c>
      <c r="C426" s="229">
        <v>17.08</v>
      </c>
      <c r="D426" s="229">
        <v>17.08</v>
      </c>
      <c r="E426" s="229">
        <v>17.08</v>
      </c>
      <c r="F426" s="229"/>
      <c r="G426" s="229"/>
      <c r="H426" s="229"/>
      <c r="I426" s="229"/>
      <c r="J426" s="229"/>
      <c r="K426" s="229"/>
      <c r="L426" s="229"/>
      <c r="M426" s="229"/>
      <c r="N426" s="232"/>
    </row>
    <row r="427" hidden="1" spans="1:14">
      <c r="A427" s="235"/>
      <c r="B427" s="230" t="s">
        <v>1033</v>
      </c>
      <c r="C427" s="229">
        <v>55.309355</v>
      </c>
      <c r="D427" s="229">
        <v>55.309355</v>
      </c>
      <c r="E427" s="229">
        <v>55.309355</v>
      </c>
      <c r="F427" s="229"/>
      <c r="G427" s="229"/>
      <c r="H427" s="229"/>
      <c r="I427" s="229"/>
      <c r="J427" s="229"/>
      <c r="K427" s="229"/>
      <c r="L427" s="229"/>
      <c r="M427" s="229"/>
      <c r="N427" s="232"/>
    </row>
    <row r="428" hidden="1" spans="1:14">
      <c r="A428" s="235"/>
      <c r="B428" s="230" t="s">
        <v>1039</v>
      </c>
      <c r="C428" s="229">
        <v>3.534835</v>
      </c>
      <c r="D428" s="229">
        <v>3.534835</v>
      </c>
      <c r="E428" s="229">
        <v>3.534835</v>
      </c>
      <c r="F428" s="229"/>
      <c r="G428" s="229"/>
      <c r="H428" s="229"/>
      <c r="I428" s="229"/>
      <c r="J428" s="229"/>
      <c r="K428" s="229"/>
      <c r="L428" s="229"/>
      <c r="M428" s="229"/>
      <c r="N428" s="232"/>
    </row>
    <row r="429" spans="1:14">
      <c r="A429" s="227">
        <v>102001</v>
      </c>
      <c r="B429" s="231" t="s">
        <v>654</v>
      </c>
      <c r="C429" s="229">
        <v>1670.099657</v>
      </c>
      <c r="D429" s="229">
        <v>1670.099657</v>
      </c>
      <c r="E429" s="229">
        <v>1670.099657</v>
      </c>
      <c r="F429" s="229"/>
      <c r="G429" s="229"/>
      <c r="H429" s="229"/>
      <c r="I429" s="229"/>
      <c r="J429" s="229"/>
      <c r="K429" s="229"/>
      <c r="L429" s="229"/>
      <c r="M429" s="229"/>
      <c r="N429" s="233" t="s">
        <v>578</v>
      </c>
    </row>
    <row r="430" hidden="1" spans="1:14">
      <c r="A430" s="235"/>
      <c r="B430" s="230" t="s">
        <v>1037</v>
      </c>
      <c r="C430" s="229">
        <v>3.97884</v>
      </c>
      <c r="D430" s="229">
        <v>3.97884</v>
      </c>
      <c r="E430" s="229">
        <v>3.97884</v>
      </c>
      <c r="F430" s="229"/>
      <c r="G430" s="229"/>
      <c r="H430" s="229"/>
      <c r="I430" s="229"/>
      <c r="J430" s="229"/>
      <c r="K430" s="229"/>
      <c r="L430" s="229"/>
      <c r="M430" s="229"/>
      <c r="N430" s="232"/>
    </row>
    <row r="431" hidden="1" spans="1:14">
      <c r="A431" s="235"/>
      <c r="B431" s="230" t="s">
        <v>1033</v>
      </c>
      <c r="C431" s="229">
        <v>285.463977</v>
      </c>
      <c r="D431" s="229">
        <v>285.463977</v>
      </c>
      <c r="E431" s="229">
        <v>285.463977</v>
      </c>
      <c r="F431" s="229"/>
      <c r="G431" s="229"/>
      <c r="H431" s="229"/>
      <c r="I431" s="229"/>
      <c r="J431" s="229"/>
      <c r="K431" s="229"/>
      <c r="L431" s="229"/>
      <c r="M431" s="229"/>
      <c r="N431" s="232"/>
    </row>
    <row r="432" hidden="1" spans="1:14">
      <c r="A432" s="235"/>
      <c r="B432" s="230" t="s">
        <v>1034</v>
      </c>
      <c r="C432" s="229">
        <v>8.112</v>
      </c>
      <c r="D432" s="229">
        <v>8.112</v>
      </c>
      <c r="E432" s="229">
        <v>8.112</v>
      </c>
      <c r="F432" s="229"/>
      <c r="G432" s="229"/>
      <c r="H432" s="229"/>
      <c r="I432" s="229"/>
      <c r="J432" s="229"/>
      <c r="K432" s="229"/>
      <c r="L432" s="229"/>
      <c r="M432" s="229"/>
      <c r="N432" s="232"/>
    </row>
    <row r="433" hidden="1" spans="1:14">
      <c r="A433" s="235"/>
      <c r="B433" s="230" t="s">
        <v>1032</v>
      </c>
      <c r="C433" s="229">
        <v>952.466</v>
      </c>
      <c r="D433" s="229">
        <v>952.466</v>
      </c>
      <c r="E433" s="229">
        <v>952.466</v>
      </c>
      <c r="F433" s="229"/>
      <c r="G433" s="229"/>
      <c r="H433" s="229"/>
      <c r="I433" s="229"/>
      <c r="J433" s="229"/>
      <c r="K433" s="229"/>
      <c r="L433" s="229"/>
      <c r="M433" s="229"/>
      <c r="N433" s="232"/>
    </row>
    <row r="434" hidden="1" spans="1:14">
      <c r="A434" s="235"/>
      <c r="B434" s="230" t="s">
        <v>1036</v>
      </c>
      <c r="C434" s="229">
        <v>114.29592</v>
      </c>
      <c r="D434" s="229">
        <v>114.29592</v>
      </c>
      <c r="E434" s="229">
        <v>114.29592</v>
      </c>
      <c r="F434" s="229"/>
      <c r="G434" s="229"/>
      <c r="H434" s="229"/>
      <c r="I434" s="229"/>
      <c r="J434" s="229"/>
      <c r="K434" s="229"/>
      <c r="L434" s="229"/>
      <c r="M434" s="229"/>
      <c r="N434" s="232"/>
    </row>
    <row r="435" hidden="1" spans="1:14">
      <c r="A435" s="235"/>
      <c r="B435" s="230" t="s">
        <v>1030</v>
      </c>
      <c r="C435" s="229">
        <v>4</v>
      </c>
      <c r="D435" s="229">
        <v>4</v>
      </c>
      <c r="E435" s="229">
        <v>4</v>
      </c>
      <c r="F435" s="229"/>
      <c r="G435" s="229"/>
      <c r="H435" s="229"/>
      <c r="I435" s="229"/>
      <c r="J435" s="229"/>
      <c r="K435" s="229"/>
      <c r="L435" s="229"/>
      <c r="M435" s="229"/>
      <c r="N435" s="232"/>
    </row>
    <row r="436" hidden="1" spans="1:14">
      <c r="A436" s="235"/>
      <c r="B436" s="230" t="s">
        <v>1028</v>
      </c>
      <c r="C436" s="229">
        <v>159.1536</v>
      </c>
      <c r="D436" s="229">
        <v>159.1536</v>
      </c>
      <c r="E436" s="229">
        <v>159.1536</v>
      </c>
      <c r="F436" s="229"/>
      <c r="G436" s="229"/>
      <c r="H436" s="229"/>
      <c r="I436" s="229"/>
      <c r="J436" s="229"/>
      <c r="K436" s="229"/>
      <c r="L436" s="229"/>
      <c r="M436" s="229"/>
      <c r="N436" s="232"/>
    </row>
    <row r="437" hidden="1" spans="1:14">
      <c r="A437" s="235"/>
      <c r="B437" s="230" t="s">
        <v>1029</v>
      </c>
      <c r="C437" s="229">
        <v>91.5</v>
      </c>
      <c r="D437" s="229">
        <v>91.5</v>
      </c>
      <c r="E437" s="229">
        <v>91.5</v>
      </c>
      <c r="F437" s="229"/>
      <c r="G437" s="229"/>
      <c r="H437" s="229"/>
      <c r="I437" s="229"/>
      <c r="J437" s="229"/>
      <c r="K437" s="229"/>
      <c r="L437" s="229"/>
      <c r="M437" s="229"/>
      <c r="N437" s="232"/>
    </row>
    <row r="438" hidden="1" spans="1:14">
      <c r="A438" s="235"/>
      <c r="B438" s="230" t="s">
        <v>1038</v>
      </c>
      <c r="C438" s="229">
        <v>0.9</v>
      </c>
      <c r="D438" s="229">
        <v>0.9</v>
      </c>
      <c r="E438" s="229">
        <v>0.9</v>
      </c>
      <c r="F438" s="229"/>
      <c r="G438" s="229"/>
      <c r="H438" s="229"/>
      <c r="I438" s="229"/>
      <c r="J438" s="229"/>
      <c r="K438" s="229"/>
      <c r="L438" s="229"/>
      <c r="M438" s="229"/>
      <c r="N438" s="232"/>
    </row>
    <row r="439" hidden="1" spans="1:14">
      <c r="A439" s="235"/>
      <c r="B439" s="230" t="s">
        <v>1035</v>
      </c>
      <c r="C439" s="229">
        <v>5.3</v>
      </c>
      <c r="D439" s="229">
        <v>5.3</v>
      </c>
      <c r="E439" s="229">
        <v>5.3</v>
      </c>
      <c r="F439" s="229"/>
      <c r="G439" s="229"/>
      <c r="H439" s="229"/>
      <c r="I439" s="229"/>
      <c r="J439" s="229"/>
      <c r="K439" s="229"/>
      <c r="L439" s="229"/>
      <c r="M439" s="229"/>
      <c r="N439" s="232"/>
    </row>
    <row r="440" hidden="1" spans="1:14">
      <c r="A440" s="235"/>
      <c r="B440" s="230" t="s">
        <v>1039</v>
      </c>
      <c r="C440" s="229">
        <v>19.04932</v>
      </c>
      <c r="D440" s="229">
        <v>19.04932</v>
      </c>
      <c r="E440" s="229">
        <v>19.04932</v>
      </c>
      <c r="F440" s="229"/>
      <c r="G440" s="229"/>
      <c r="H440" s="229"/>
      <c r="I440" s="229"/>
      <c r="J440" s="229"/>
      <c r="K440" s="229"/>
      <c r="L440" s="229"/>
      <c r="M440" s="229"/>
      <c r="N440" s="232"/>
    </row>
    <row r="441" hidden="1" spans="1:14">
      <c r="A441" s="235"/>
      <c r="B441" s="230" t="s">
        <v>1027</v>
      </c>
      <c r="C441" s="229">
        <v>14</v>
      </c>
      <c r="D441" s="229">
        <v>14</v>
      </c>
      <c r="E441" s="229">
        <v>14</v>
      </c>
      <c r="F441" s="229"/>
      <c r="G441" s="229"/>
      <c r="H441" s="229"/>
      <c r="I441" s="229"/>
      <c r="J441" s="229"/>
      <c r="K441" s="229"/>
      <c r="L441" s="229"/>
      <c r="M441" s="229"/>
      <c r="N441" s="232"/>
    </row>
    <row r="442" hidden="1" spans="1:14">
      <c r="A442" s="235"/>
      <c r="B442" s="230" t="s">
        <v>1031</v>
      </c>
      <c r="C442" s="229">
        <v>11.88</v>
      </c>
      <c r="D442" s="229">
        <v>11.88</v>
      </c>
      <c r="E442" s="229">
        <v>11.88</v>
      </c>
      <c r="F442" s="229"/>
      <c r="G442" s="229"/>
      <c r="H442" s="229"/>
      <c r="I442" s="229"/>
      <c r="J442" s="229"/>
      <c r="K442" s="229"/>
      <c r="L442" s="229"/>
      <c r="M442" s="229"/>
      <c r="N442" s="232"/>
    </row>
    <row r="443" spans="1:14">
      <c r="A443" s="227">
        <v>102002</v>
      </c>
      <c r="B443" s="231" t="s">
        <v>1049</v>
      </c>
      <c r="C443" s="229">
        <v>1092.118146</v>
      </c>
      <c r="D443" s="229">
        <v>1092.118146</v>
      </c>
      <c r="E443" s="229">
        <v>1092.118146</v>
      </c>
      <c r="F443" s="229"/>
      <c r="G443" s="229"/>
      <c r="H443" s="229"/>
      <c r="I443" s="229"/>
      <c r="J443" s="229"/>
      <c r="K443" s="229"/>
      <c r="L443" s="229"/>
      <c r="M443" s="229"/>
      <c r="N443" s="233" t="s">
        <v>578</v>
      </c>
    </row>
    <row r="444" hidden="1" spans="1:14">
      <c r="A444" s="235"/>
      <c r="B444" s="230" t="s">
        <v>1033</v>
      </c>
      <c r="C444" s="229">
        <v>193.298974</v>
      </c>
      <c r="D444" s="229">
        <v>193.298974</v>
      </c>
      <c r="E444" s="229">
        <v>193.298974</v>
      </c>
      <c r="F444" s="229"/>
      <c r="G444" s="229"/>
      <c r="H444" s="229"/>
      <c r="I444" s="229"/>
      <c r="J444" s="229"/>
      <c r="K444" s="229"/>
      <c r="L444" s="229"/>
      <c r="M444" s="229"/>
      <c r="N444" s="232"/>
    </row>
    <row r="445" hidden="1" spans="1:14">
      <c r="A445" s="235"/>
      <c r="B445" s="230" t="s">
        <v>1037</v>
      </c>
      <c r="C445" s="229">
        <v>1.176</v>
      </c>
      <c r="D445" s="229">
        <v>1.176</v>
      </c>
      <c r="E445" s="229">
        <v>1.176</v>
      </c>
      <c r="F445" s="229"/>
      <c r="G445" s="229"/>
      <c r="H445" s="229"/>
      <c r="I445" s="229"/>
      <c r="J445" s="229"/>
      <c r="K445" s="229"/>
      <c r="L445" s="229"/>
      <c r="M445" s="229"/>
      <c r="N445" s="232"/>
    </row>
    <row r="446" hidden="1" spans="1:14">
      <c r="A446" s="235"/>
      <c r="B446" s="230" t="s">
        <v>1029</v>
      </c>
      <c r="C446" s="229">
        <v>63.562</v>
      </c>
      <c r="D446" s="229">
        <v>63.562</v>
      </c>
      <c r="E446" s="229">
        <v>63.562</v>
      </c>
      <c r="F446" s="229"/>
      <c r="G446" s="229"/>
      <c r="H446" s="229"/>
      <c r="I446" s="229"/>
      <c r="J446" s="229"/>
      <c r="K446" s="229"/>
      <c r="L446" s="229"/>
      <c r="M446" s="229"/>
      <c r="N446" s="232"/>
    </row>
    <row r="447" hidden="1" spans="1:14">
      <c r="A447" s="235"/>
      <c r="B447" s="230" t="s">
        <v>1031</v>
      </c>
      <c r="C447" s="229">
        <v>4.08</v>
      </c>
      <c r="D447" s="229">
        <v>4.08</v>
      </c>
      <c r="E447" s="229">
        <v>4.08</v>
      </c>
      <c r="F447" s="229"/>
      <c r="G447" s="229"/>
      <c r="H447" s="229"/>
      <c r="I447" s="229"/>
      <c r="J447" s="229"/>
      <c r="K447" s="229"/>
      <c r="L447" s="229"/>
      <c r="M447" s="229"/>
      <c r="N447" s="232"/>
    </row>
    <row r="448" hidden="1" spans="1:14">
      <c r="A448" s="235"/>
      <c r="B448" s="230" t="s">
        <v>1028</v>
      </c>
      <c r="C448" s="229">
        <v>47.04</v>
      </c>
      <c r="D448" s="229">
        <v>47.04</v>
      </c>
      <c r="E448" s="229">
        <v>47.04</v>
      </c>
      <c r="F448" s="229"/>
      <c r="G448" s="229"/>
      <c r="H448" s="229"/>
      <c r="I448" s="229"/>
      <c r="J448" s="229"/>
      <c r="K448" s="229"/>
      <c r="L448" s="229"/>
      <c r="M448" s="229"/>
      <c r="N448" s="232"/>
    </row>
    <row r="449" hidden="1" spans="1:14">
      <c r="A449" s="235"/>
      <c r="B449" s="230" t="s">
        <v>1036</v>
      </c>
      <c r="C449" s="229">
        <v>81.601176</v>
      </c>
      <c r="D449" s="229">
        <v>81.601176</v>
      </c>
      <c r="E449" s="229">
        <v>81.601176</v>
      </c>
      <c r="F449" s="229"/>
      <c r="G449" s="229"/>
      <c r="H449" s="229"/>
      <c r="I449" s="229"/>
      <c r="J449" s="229"/>
      <c r="K449" s="229"/>
      <c r="L449" s="229"/>
      <c r="M449" s="229"/>
      <c r="N449" s="232"/>
    </row>
    <row r="450" hidden="1" spans="1:14">
      <c r="A450" s="235"/>
      <c r="B450" s="230" t="s">
        <v>1032</v>
      </c>
      <c r="C450" s="229">
        <v>680.0098</v>
      </c>
      <c r="D450" s="229">
        <v>680.0098</v>
      </c>
      <c r="E450" s="229">
        <v>680.0098</v>
      </c>
      <c r="F450" s="229"/>
      <c r="G450" s="229"/>
      <c r="H450" s="229"/>
      <c r="I450" s="229"/>
      <c r="J450" s="229"/>
      <c r="K450" s="229"/>
      <c r="L450" s="229"/>
      <c r="M450" s="229"/>
      <c r="N450" s="232"/>
    </row>
    <row r="451" hidden="1" spans="1:14">
      <c r="A451" s="235"/>
      <c r="B451" s="230" t="s">
        <v>1027</v>
      </c>
      <c r="C451" s="229">
        <v>6</v>
      </c>
      <c r="D451" s="229">
        <v>6</v>
      </c>
      <c r="E451" s="229">
        <v>6</v>
      </c>
      <c r="F451" s="229"/>
      <c r="G451" s="229"/>
      <c r="H451" s="229"/>
      <c r="I451" s="229"/>
      <c r="J451" s="229"/>
      <c r="K451" s="229"/>
      <c r="L451" s="229"/>
      <c r="M451" s="229"/>
      <c r="N451" s="232"/>
    </row>
    <row r="452" hidden="1" spans="1:14">
      <c r="A452" s="235"/>
      <c r="B452" s="230" t="s">
        <v>1038</v>
      </c>
      <c r="C452" s="229">
        <v>0.15</v>
      </c>
      <c r="D452" s="229">
        <v>0.15</v>
      </c>
      <c r="E452" s="229">
        <v>0.15</v>
      </c>
      <c r="F452" s="229"/>
      <c r="G452" s="229"/>
      <c r="H452" s="229"/>
      <c r="I452" s="229"/>
      <c r="J452" s="229"/>
      <c r="K452" s="229"/>
      <c r="L452" s="229"/>
      <c r="M452" s="229"/>
      <c r="N452" s="232"/>
    </row>
    <row r="453" hidden="1" spans="1:14">
      <c r="A453" s="235"/>
      <c r="B453" s="230" t="s">
        <v>1039</v>
      </c>
      <c r="C453" s="229">
        <v>13.600196</v>
      </c>
      <c r="D453" s="229">
        <v>13.600196</v>
      </c>
      <c r="E453" s="229">
        <v>13.600196</v>
      </c>
      <c r="F453" s="229"/>
      <c r="G453" s="229"/>
      <c r="H453" s="229"/>
      <c r="I453" s="229"/>
      <c r="J453" s="229"/>
      <c r="K453" s="229"/>
      <c r="L453" s="229"/>
      <c r="M453" s="229"/>
      <c r="N453" s="232"/>
    </row>
    <row r="454" hidden="1" spans="1:14">
      <c r="A454" s="235"/>
      <c r="B454" s="230" t="s">
        <v>1035</v>
      </c>
      <c r="C454" s="229">
        <v>1.6</v>
      </c>
      <c r="D454" s="229">
        <v>1.6</v>
      </c>
      <c r="E454" s="229">
        <v>1.6</v>
      </c>
      <c r="F454" s="229"/>
      <c r="G454" s="229"/>
      <c r="H454" s="229"/>
      <c r="I454" s="229"/>
      <c r="J454" s="229"/>
      <c r="K454" s="229"/>
      <c r="L454" s="229"/>
      <c r="M454" s="229"/>
      <c r="N454" s="232"/>
    </row>
    <row r="455" spans="1:14">
      <c r="A455" s="227">
        <v>103001</v>
      </c>
      <c r="B455" s="231" t="s">
        <v>658</v>
      </c>
      <c r="C455" s="229">
        <v>133.356157</v>
      </c>
      <c r="D455" s="229">
        <v>133.356157</v>
      </c>
      <c r="E455" s="229">
        <v>133.356157</v>
      </c>
      <c r="F455" s="229"/>
      <c r="G455" s="229"/>
      <c r="H455" s="229"/>
      <c r="I455" s="229"/>
      <c r="J455" s="229"/>
      <c r="K455" s="229"/>
      <c r="L455" s="229"/>
      <c r="M455" s="229"/>
      <c r="N455" s="233" t="s">
        <v>578</v>
      </c>
    </row>
    <row r="456" hidden="1" spans="1:14">
      <c r="A456" s="235"/>
      <c r="B456" s="230" t="s">
        <v>1035</v>
      </c>
      <c r="C456" s="229">
        <v>0.1</v>
      </c>
      <c r="D456" s="229">
        <v>0.1</v>
      </c>
      <c r="E456" s="229">
        <v>0.1</v>
      </c>
      <c r="F456" s="229"/>
      <c r="G456" s="229"/>
      <c r="H456" s="229"/>
      <c r="I456" s="229"/>
      <c r="J456" s="229"/>
      <c r="K456" s="229"/>
      <c r="L456" s="229"/>
      <c r="M456" s="229"/>
      <c r="N456" s="232"/>
    </row>
    <row r="457" hidden="1" spans="1:14">
      <c r="A457" s="235"/>
      <c r="B457" s="230" t="s">
        <v>1027</v>
      </c>
      <c r="C457" s="229">
        <v>4</v>
      </c>
      <c r="D457" s="229">
        <v>4</v>
      </c>
      <c r="E457" s="229">
        <v>4</v>
      </c>
      <c r="F457" s="229"/>
      <c r="G457" s="229"/>
      <c r="H457" s="229"/>
      <c r="I457" s="229"/>
      <c r="J457" s="229"/>
      <c r="K457" s="229"/>
      <c r="L457" s="229"/>
      <c r="M457" s="229"/>
      <c r="N457" s="232"/>
    </row>
    <row r="458" hidden="1" spans="1:14">
      <c r="A458" s="235"/>
      <c r="B458" s="230" t="s">
        <v>1030</v>
      </c>
      <c r="C458" s="229">
        <v>4</v>
      </c>
      <c r="D458" s="229">
        <v>4</v>
      </c>
      <c r="E458" s="229">
        <v>4</v>
      </c>
      <c r="F458" s="229"/>
      <c r="G458" s="229"/>
      <c r="H458" s="229"/>
      <c r="I458" s="229"/>
      <c r="J458" s="229"/>
      <c r="K458" s="229"/>
      <c r="L458" s="229"/>
      <c r="M458" s="229"/>
      <c r="N458" s="232"/>
    </row>
    <row r="459" hidden="1" spans="1:14">
      <c r="A459" s="235"/>
      <c r="B459" s="230" t="s">
        <v>1037</v>
      </c>
      <c r="C459" s="229">
        <v>0.0735</v>
      </c>
      <c r="D459" s="229">
        <v>0.0735</v>
      </c>
      <c r="E459" s="229">
        <v>0.0735</v>
      </c>
      <c r="F459" s="229"/>
      <c r="G459" s="229"/>
      <c r="H459" s="229"/>
      <c r="I459" s="229"/>
      <c r="J459" s="229"/>
      <c r="K459" s="229"/>
      <c r="L459" s="229"/>
      <c r="M459" s="229"/>
      <c r="N459" s="232"/>
    </row>
    <row r="460" hidden="1" spans="1:14">
      <c r="A460" s="235"/>
      <c r="B460" s="230" t="s">
        <v>1032</v>
      </c>
      <c r="C460" s="229">
        <v>80.2548</v>
      </c>
      <c r="D460" s="229">
        <v>80.2548</v>
      </c>
      <c r="E460" s="229">
        <v>80.2548</v>
      </c>
      <c r="F460" s="229"/>
      <c r="G460" s="229"/>
      <c r="H460" s="229"/>
      <c r="I460" s="229"/>
      <c r="J460" s="229"/>
      <c r="K460" s="229"/>
      <c r="L460" s="229"/>
      <c r="M460" s="229"/>
      <c r="N460" s="232"/>
    </row>
    <row r="461" hidden="1" spans="1:14">
      <c r="A461" s="235"/>
      <c r="B461" s="230" t="s">
        <v>1031</v>
      </c>
      <c r="C461" s="229">
        <v>0.66</v>
      </c>
      <c r="D461" s="229">
        <v>0.66</v>
      </c>
      <c r="E461" s="229">
        <v>0.66</v>
      </c>
      <c r="F461" s="229"/>
      <c r="G461" s="229"/>
      <c r="H461" s="229"/>
      <c r="I461" s="229"/>
      <c r="J461" s="229"/>
      <c r="K461" s="229"/>
      <c r="L461" s="229"/>
      <c r="M461" s="229"/>
      <c r="N461" s="232"/>
    </row>
    <row r="462" hidden="1" spans="1:14">
      <c r="A462" s="235"/>
      <c r="B462" s="230" t="s">
        <v>1033</v>
      </c>
      <c r="C462" s="229">
        <v>22.772185</v>
      </c>
      <c r="D462" s="229">
        <v>22.772185</v>
      </c>
      <c r="E462" s="229">
        <v>22.772185</v>
      </c>
      <c r="F462" s="229"/>
      <c r="G462" s="229"/>
      <c r="H462" s="229"/>
      <c r="I462" s="229"/>
      <c r="J462" s="229"/>
      <c r="K462" s="229"/>
      <c r="L462" s="229"/>
      <c r="M462" s="229"/>
      <c r="N462" s="232"/>
    </row>
    <row r="463" hidden="1" spans="1:14">
      <c r="A463" s="235"/>
      <c r="B463" s="230" t="s">
        <v>1036</v>
      </c>
      <c r="C463" s="229">
        <v>9.630576</v>
      </c>
      <c r="D463" s="229">
        <v>9.630576</v>
      </c>
      <c r="E463" s="229">
        <v>9.630576</v>
      </c>
      <c r="F463" s="229"/>
      <c r="G463" s="229"/>
      <c r="H463" s="229"/>
      <c r="I463" s="229"/>
      <c r="J463" s="229"/>
      <c r="K463" s="229"/>
      <c r="L463" s="229"/>
      <c r="M463" s="229"/>
      <c r="N463" s="232"/>
    </row>
    <row r="464" hidden="1" spans="1:14">
      <c r="A464" s="235"/>
      <c r="B464" s="230" t="s">
        <v>1028</v>
      </c>
      <c r="C464" s="229">
        <v>2.94</v>
      </c>
      <c r="D464" s="229">
        <v>2.94</v>
      </c>
      <c r="E464" s="229">
        <v>2.94</v>
      </c>
      <c r="F464" s="229"/>
      <c r="G464" s="229"/>
      <c r="H464" s="229"/>
      <c r="I464" s="229"/>
      <c r="J464" s="229"/>
      <c r="K464" s="229"/>
      <c r="L464" s="229"/>
      <c r="M464" s="229"/>
      <c r="N464" s="232"/>
    </row>
    <row r="465" hidden="1" spans="1:14">
      <c r="A465" s="235"/>
      <c r="B465" s="230" t="s">
        <v>1029</v>
      </c>
      <c r="C465" s="229">
        <v>7.32</v>
      </c>
      <c r="D465" s="229">
        <v>7.32</v>
      </c>
      <c r="E465" s="229">
        <v>7.32</v>
      </c>
      <c r="F465" s="229"/>
      <c r="G465" s="229"/>
      <c r="H465" s="229"/>
      <c r="I465" s="229"/>
      <c r="J465" s="229"/>
      <c r="K465" s="229"/>
      <c r="L465" s="229"/>
      <c r="M465" s="229"/>
      <c r="N465" s="232"/>
    </row>
    <row r="466" hidden="1" spans="1:14">
      <c r="A466" s="235"/>
      <c r="B466" s="230" t="s">
        <v>1039</v>
      </c>
      <c r="C466" s="229">
        <v>1.605096</v>
      </c>
      <c r="D466" s="229">
        <v>1.605096</v>
      </c>
      <c r="E466" s="229">
        <v>1.605096</v>
      </c>
      <c r="F466" s="229"/>
      <c r="G466" s="229"/>
      <c r="H466" s="229"/>
      <c r="I466" s="229"/>
      <c r="J466" s="229"/>
      <c r="K466" s="229"/>
      <c r="L466" s="229"/>
      <c r="M466" s="229"/>
      <c r="N466" s="232"/>
    </row>
    <row r="467" spans="1:14">
      <c r="A467" s="227">
        <v>104001</v>
      </c>
      <c r="B467" s="230" t="s">
        <v>660</v>
      </c>
      <c r="C467" s="229">
        <v>277.84298</v>
      </c>
      <c r="D467" s="229">
        <v>277.84298</v>
      </c>
      <c r="E467" s="229">
        <v>277.84298</v>
      </c>
      <c r="F467" s="229"/>
      <c r="G467" s="229"/>
      <c r="H467" s="229"/>
      <c r="I467" s="229"/>
      <c r="J467" s="229"/>
      <c r="K467" s="229"/>
      <c r="L467" s="229"/>
      <c r="M467" s="229"/>
      <c r="N467" s="233" t="s">
        <v>578</v>
      </c>
    </row>
    <row r="468" hidden="1" spans="1:14">
      <c r="A468" s="235"/>
      <c r="B468" s="230" t="s">
        <v>1039</v>
      </c>
      <c r="C468" s="229">
        <v>3.52418</v>
      </c>
      <c r="D468" s="229">
        <v>3.52418</v>
      </c>
      <c r="E468" s="229">
        <v>3.52418</v>
      </c>
      <c r="F468" s="229"/>
      <c r="G468" s="229"/>
      <c r="H468" s="229"/>
      <c r="I468" s="229"/>
      <c r="J468" s="229"/>
      <c r="K468" s="229"/>
      <c r="L468" s="229"/>
      <c r="M468" s="229"/>
      <c r="N468" s="232"/>
    </row>
    <row r="469" hidden="1" spans="1:14">
      <c r="A469" s="235"/>
      <c r="B469" s="230" t="s">
        <v>1029</v>
      </c>
      <c r="C469" s="229">
        <v>17.08</v>
      </c>
      <c r="D469" s="229">
        <v>17.08</v>
      </c>
      <c r="E469" s="229">
        <v>17.08</v>
      </c>
      <c r="F469" s="229"/>
      <c r="G469" s="229"/>
      <c r="H469" s="229"/>
      <c r="I469" s="229"/>
      <c r="J469" s="229"/>
      <c r="K469" s="229"/>
      <c r="L469" s="229"/>
      <c r="M469" s="229"/>
      <c r="N469" s="232"/>
    </row>
    <row r="470" hidden="1" spans="1:14">
      <c r="A470" s="235"/>
      <c r="B470" s="230" t="s">
        <v>1030</v>
      </c>
      <c r="C470" s="229">
        <v>4</v>
      </c>
      <c r="D470" s="229">
        <v>4</v>
      </c>
      <c r="E470" s="229">
        <v>4</v>
      </c>
      <c r="F470" s="229"/>
      <c r="G470" s="229"/>
      <c r="H470" s="229"/>
      <c r="I470" s="229"/>
      <c r="J470" s="229"/>
      <c r="K470" s="229"/>
      <c r="L470" s="229"/>
      <c r="M470" s="229"/>
      <c r="N470" s="232"/>
    </row>
    <row r="471" hidden="1" spans="1:14">
      <c r="A471" s="235"/>
      <c r="B471" s="230" t="s">
        <v>1036</v>
      </c>
      <c r="C471" s="229">
        <v>21.14508</v>
      </c>
      <c r="D471" s="229">
        <v>21.14508</v>
      </c>
      <c r="E471" s="229">
        <v>21.14508</v>
      </c>
      <c r="F471" s="229"/>
      <c r="G471" s="229"/>
      <c r="H471" s="229"/>
      <c r="I471" s="229"/>
      <c r="J471" s="229"/>
      <c r="K471" s="229"/>
      <c r="L471" s="229"/>
      <c r="M471" s="229"/>
      <c r="N471" s="232"/>
    </row>
    <row r="472" hidden="1" spans="1:14">
      <c r="A472" s="235"/>
      <c r="B472" s="230" t="s">
        <v>1033</v>
      </c>
      <c r="C472" s="229">
        <v>47.24472</v>
      </c>
      <c r="D472" s="229">
        <v>47.24472</v>
      </c>
      <c r="E472" s="229">
        <v>47.24472</v>
      </c>
      <c r="F472" s="229"/>
      <c r="G472" s="229"/>
      <c r="H472" s="229"/>
      <c r="I472" s="229"/>
      <c r="J472" s="229"/>
      <c r="K472" s="229"/>
      <c r="L472" s="229"/>
      <c r="M472" s="229"/>
      <c r="N472" s="232"/>
    </row>
    <row r="473" hidden="1" spans="1:14">
      <c r="A473" s="235"/>
      <c r="B473" s="230" t="s">
        <v>1032</v>
      </c>
      <c r="C473" s="229">
        <v>176.209</v>
      </c>
      <c r="D473" s="229">
        <v>176.209</v>
      </c>
      <c r="E473" s="229">
        <v>176.209</v>
      </c>
      <c r="F473" s="229"/>
      <c r="G473" s="229"/>
      <c r="H473" s="229"/>
      <c r="I473" s="229"/>
      <c r="J473" s="229"/>
      <c r="K473" s="229"/>
      <c r="L473" s="229"/>
      <c r="M473" s="229"/>
      <c r="N473" s="232"/>
    </row>
    <row r="474" hidden="1" spans="1:14">
      <c r="A474" s="235"/>
      <c r="B474" s="230" t="s">
        <v>1031</v>
      </c>
      <c r="C474" s="229">
        <v>8.64</v>
      </c>
      <c r="D474" s="229">
        <v>8.64</v>
      </c>
      <c r="E474" s="229">
        <v>8.64</v>
      </c>
      <c r="F474" s="229"/>
      <c r="G474" s="229"/>
      <c r="H474" s="229"/>
      <c r="I474" s="229"/>
      <c r="J474" s="229"/>
      <c r="K474" s="229"/>
      <c r="L474" s="229"/>
      <c r="M474" s="229"/>
      <c r="N474" s="232"/>
    </row>
    <row r="475" spans="1:14">
      <c r="A475" s="227">
        <v>105001</v>
      </c>
      <c r="B475" s="231" t="s">
        <v>662</v>
      </c>
      <c r="C475" s="229">
        <v>252.352562</v>
      </c>
      <c r="D475" s="229">
        <v>252.352562</v>
      </c>
      <c r="E475" s="229">
        <v>252.352562</v>
      </c>
      <c r="F475" s="229"/>
      <c r="G475" s="229"/>
      <c r="H475" s="229"/>
      <c r="I475" s="229"/>
      <c r="J475" s="229"/>
      <c r="K475" s="229"/>
      <c r="L475" s="229"/>
      <c r="M475" s="229"/>
      <c r="N475" s="233" t="s">
        <v>578</v>
      </c>
    </row>
    <row r="476" hidden="1" spans="1:14">
      <c r="A476" s="235"/>
      <c r="B476" s="230" t="s">
        <v>1039</v>
      </c>
      <c r="C476" s="229">
        <v>3.307992</v>
      </c>
      <c r="D476" s="229">
        <v>3.307992</v>
      </c>
      <c r="E476" s="229">
        <v>3.307992</v>
      </c>
      <c r="F476" s="229"/>
      <c r="G476" s="229"/>
      <c r="H476" s="229"/>
      <c r="I476" s="229"/>
      <c r="J476" s="229"/>
      <c r="K476" s="229"/>
      <c r="L476" s="229"/>
      <c r="M476" s="229"/>
      <c r="N476" s="232"/>
    </row>
    <row r="477" hidden="1" spans="1:14">
      <c r="A477" s="235"/>
      <c r="B477" s="230" t="s">
        <v>1036</v>
      </c>
      <c r="C477" s="229">
        <v>19.84795</v>
      </c>
      <c r="D477" s="229">
        <v>19.84795</v>
      </c>
      <c r="E477" s="229">
        <v>19.84795</v>
      </c>
      <c r="F477" s="229"/>
      <c r="G477" s="229"/>
      <c r="H477" s="229"/>
      <c r="I477" s="229"/>
      <c r="J477" s="229"/>
      <c r="K477" s="229"/>
      <c r="L477" s="229"/>
      <c r="M477" s="229"/>
      <c r="N477" s="232"/>
    </row>
    <row r="478" hidden="1" spans="1:14">
      <c r="A478" s="235"/>
      <c r="B478" s="230" t="s">
        <v>1029</v>
      </c>
      <c r="C478" s="229">
        <v>16.714</v>
      </c>
      <c r="D478" s="229">
        <v>16.714</v>
      </c>
      <c r="E478" s="229">
        <v>16.714</v>
      </c>
      <c r="F478" s="229"/>
      <c r="G478" s="229"/>
      <c r="H478" s="229"/>
      <c r="I478" s="229"/>
      <c r="J478" s="229"/>
      <c r="K478" s="229"/>
      <c r="L478" s="229"/>
      <c r="M478" s="229"/>
      <c r="N478" s="232"/>
    </row>
    <row r="479" hidden="1" spans="1:14">
      <c r="A479" s="235"/>
      <c r="B479" s="230" t="s">
        <v>1033</v>
      </c>
      <c r="C479" s="229">
        <v>43.735036</v>
      </c>
      <c r="D479" s="229">
        <v>43.735036</v>
      </c>
      <c r="E479" s="229">
        <v>43.735036</v>
      </c>
      <c r="F479" s="229"/>
      <c r="G479" s="229"/>
      <c r="H479" s="229"/>
      <c r="I479" s="229"/>
      <c r="J479" s="229"/>
      <c r="K479" s="229"/>
      <c r="L479" s="229"/>
      <c r="M479" s="229"/>
      <c r="N479" s="232"/>
    </row>
    <row r="480" hidden="1" spans="1:14">
      <c r="A480" s="235"/>
      <c r="B480" s="230" t="s">
        <v>1031</v>
      </c>
      <c r="C480" s="229">
        <v>3.348</v>
      </c>
      <c r="D480" s="229">
        <v>3.348</v>
      </c>
      <c r="E480" s="229">
        <v>3.348</v>
      </c>
      <c r="F480" s="229"/>
      <c r="G480" s="229"/>
      <c r="H480" s="229"/>
      <c r="I480" s="229"/>
      <c r="J480" s="229"/>
      <c r="K480" s="229"/>
      <c r="L480" s="229"/>
      <c r="M480" s="229"/>
      <c r="N480" s="232"/>
    </row>
    <row r="481" hidden="1" spans="1:14">
      <c r="A481" s="235"/>
      <c r="B481" s="230" t="s">
        <v>1032</v>
      </c>
      <c r="C481" s="229">
        <v>165.399584</v>
      </c>
      <c r="D481" s="229">
        <v>165.399584</v>
      </c>
      <c r="E481" s="229">
        <v>165.399584</v>
      </c>
      <c r="F481" s="229"/>
      <c r="G481" s="229"/>
      <c r="H481" s="229"/>
      <c r="I481" s="229"/>
      <c r="J481" s="229"/>
      <c r="K481" s="229"/>
      <c r="L481" s="229"/>
      <c r="M481" s="229"/>
      <c r="N481" s="232"/>
    </row>
    <row r="482" spans="1:14">
      <c r="A482" s="225"/>
      <c r="B482" s="226" t="s">
        <v>663</v>
      </c>
      <c r="C482" s="205">
        <f>SUMIF($A:$A,"20????",C:C)</f>
        <v>121702.524059</v>
      </c>
      <c r="D482" s="205">
        <f>SUMIF($A:$A,"20????",D:D)</f>
        <v>21332.343787</v>
      </c>
      <c r="E482" s="205">
        <f>SUMIF($A:$A,"20????",E:E)</f>
        <v>21203.826591</v>
      </c>
      <c r="F482" s="205">
        <f>SUMIF($A:$A,"20????",F:F)</f>
        <v>128.517196</v>
      </c>
      <c r="G482" s="205"/>
      <c r="H482" s="205">
        <f>SUMIF($A:$A,"20????",H:H)</f>
        <v>100370.180272</v>
      </c>
      <c r="I482" s="205">
        <f>SUMIF($A:$A,"20????",I:I)</f>
        <v>99600.180272</v>
      </c>
      <c r="J482" s="205"/>
      <c r="K482" s="205"/>
      <c r="L482" s="205"/>
      <c r="M482" s="205">
        <f>SUMIF($A:$A,"20????",M:M)</f>
        <v>770</v>
      </c>
      <c r="N482" s="232" t="s">
        <v>578</v>
      </c>
    </row>
    <row r="483" spans="1:14">
      <c r="A483" s="227" t="s">
        <v>1050</v>
      </c>
      <c r="B483" s="231" t="s">
        <v>664</v>
      </c>
      <c r="C483" s="229">
        <v>994.287926</v>
      </c>
      <c r="D483" s="229">
        <v>994.287926</v>
      </c>
      <c r="E483" s="229">
        <v>994.287926</v>
      </c>
      <c r="F483" s="229"/>
      <c r="G483" s="229"/>
      <c r="H483" s="229"/>
      <c r="I483" s="229"/>
      <c r="J483" s="229"/>
      <c r="K483" s="229"/>
      <c r="L483" s="229"/>
      <c r="M483" s="229"/>
      <c r="N483" s="233" t="s">
        <v>578</v>
      </c>
    </row>
    <row r="484" hidden="1" spans="1:14">
      <c r="A484" s="235"/>
      <c r="B484" s="230" t="s">
        <v>1037</v>
      </c>
      <c r="C484" s="229">
        <v>23.616867</v>
      </c>
      <c r="D484" s="229">
        <v>23.616867</v>
      </c>
      <c r="E484" s="229">
        <v>23.616867</v>
      </c>
      <c r="F484" s="229"/>
      <c r="G484" s="229"/>
      <c r="H484" s="229"/>
      <c r="I484" s="229"/>
      <c r="J484" s="229"/>
      <c r="K484" s="229"/>
      <c r="L484" s="229"/>
      <c r="M484" s="229"/>
      <c r="N484" s="232"/>
    </row>
    <row r="485" hidden="1" spans="1:14">
      <c r="A485" s="235"/>
      <c r="B485" s="230" t="s">
        <v>1038</v>
      </c>
      <c r="C485" s="229">
        <v>1.004</v>
      </c>
      <c r="D485" s="229">
        <v>1.004</v>
      </c>
      <c r="E485" s="229">
        <v>1.004</v>
      </c>
      <c r="F485" s="229"/>
      <c r="G485" s="229"/>
      <c r="H485" s="229"/>
      <c r="I485" s="229"/>
      <c r="J485" s="229"/>
      <c r="K485" s="229"/>
      <c r="L485" s="229"/>
      <c r="M485" s="229"/>
      <c r="N485" s="232"/>
    </row>
    <row r="486" hidden="1" spans="1:14">
      <c r="A486" s="235"/>
      <c r="B486" s="230" t="s">
        <v>1039</v>
      </c>
      <c r="C486" s="229">
        <v>10.633788</v>
      </c>
      <c r="D486" s="229">
        <v>10.633788</v>
      </c>
      <c r="E486" s="229">
        <v>10.633788</v>
      </c>
      <c r="F486" s="229"/>
      <c r="G486" s="229"/>
      <c r="H486" s="229"/>
      <c r="I486" s="229"/>
      <c r="J486" s="229"/>
      <c r="K486" s="229"/>
      <c r="L486" s="229"/>
      <c r="M486" s="229"/>
      <c r="N486" s="232"/>
    </row>
    <row r="487" hidden="1" spans="1:14">
      <c r="A487" s="235"/>
      <c r="B487" s="230" t="s">
        <v>1034</v>
      </c>
      <c r="C487" s="229">
        <v>2.028</v>
      </c>
      <c r="D487" s="229">
        <v>2.028</v>
      </c>
      <c r="E487" s="229">
        <v>2.028</v>
      </c>
      <c r="F487" s="229"/>
      <c r="G487" s="229"/>
      <c r="H487" s="229"/>
      <c r="I487" s="229"/>
      <c r="J487" s="229"/>
      <c r="K487" s="229"/>
      <c r="L487" s="229"/>
      <c r="M487" s="229"/>
      <c r="N487" s="232"/>
    </row>
    <row r="488" hidden="1" spans="1:14">
      <c r="A488" s="235"/>
      <c r="B488" s="230" t="s">
        <v>1033</v>
      </c>
      <c r="C488" s="229">
        <v>169.433943</v>
      </c>
      <c r="D488" s="229">
        <v>169.433943</v>
      </c>
      <c r="E488" s="229">
        <v>169.433943</v>
      </c>
      <c r="F488" s="229"/>
      <c r="G488" s="229"/>
      <c r="H488" s="229"/>
      <c r="I488" s="229"/>
      <c r="J488" s="229"/>
      <c r="K488" s="229"/>
      <c r="L488" s="229"/>
      <c r="M488" s="229"/>
      <c r="N488" s="232"/>
    </row>
    <row r="489" hidden="1" spans="1:14">
      <c r="A489" s="235"/>
      <c r="B489" s="230" t="s">
        <v>1029</v>
      </c>
      <c r="C489" s="229">
        <v>52.46</v>
      </c>
      <c r="D489" s="229">
        <v>52.46</v>
      </c>
      <c r="E489" s="229">
        <v>52.46</v>
      </c>
      <c r="F489" s="229"/>
      <c r="G489" s="229"/>
      <c r="H489" s="229"/>
      <c r="I489" s="229"/>
      <c r="J489" s="229"/>
      <c r="K489" s="229"/>
      <c r="L489" s="229"/>
      <c r="M489" s="229"/>
      <c r="N489" s="232"/>
    </row>
    <row r="490" hidden="1" spans="1:14">
      <c r="A490" s="235"/>
      <c r="B490" s="230" t="s">
        <v>1027</v>
      </c>
      <c r="C490" s="229">
        <v>14</v>
      </c>
      <c r="D490" s="229">
        <v>14</v>
      </c>
      <c r="E490" s="229">
        <v>14</v>
      </c>
      <c r="F490" s="229"/>
      <c r="G490" s="229"/>
      <c r="H490" s="229"/>
      <c r="I490" s="229"/>
      <c r="J490" s="229"/>
      <c r="K490" s="229"/>
      <c r="L490" s="229"/>
      <c r="M490" s="229"/>
      <c r="N490" s="232"/>
    </row>
    <row r="491" hidden="1" spans="1:14">
      <c r="A491" s="235"/>
      <c r="B491" s="230" t="s">
        <v>1035</v>
      </c>
      <c r="C491" s="229">
        <v>3.6</v>
      </c>
      <c r="D491" s="229">
        <v>3.6</v>
      </c>
      <c r="E491" s="229">
        <v>3.6</v>
      </c>
      <c r="F491" s="229"/>
      <c r="G491" s="229"/>
      <c r="H491" s="229"/>
      <c r="I491" s="229"/>
      <c r="J491" s="229"/>
      <c r="K491" s="229"/>
      <c r="L491" s="229"/>
      <c r="M491" s="229"/>
      <c r="N491" s="232"/>
    </row>
    <row r="492" hidden="1" spans="1:14">
      <c r="A492" s="235"/>
      <c r="B492" s="230" t="s">
        <v>1031</v>
      </c>
      <c r="C492" s="229">
        <v>10.956</v>
      </c>
      <c r="D492" s="229">
        <v>10.956</v>
      </c>
      <c r="E492" s="229">
        <v>10.956</v>
      </c>
      <c r="F492" s="229"/>
      <c r="G492" s="229"/>
      <c r="H492" s="229"/>
      <c r="I492" s="229"/>
      <c r="J492" s="229"/>
      <c r="K492" s="229"/>
      <c r="L492" s="229"/>
      <c r="M492" s="229"/>
      <c r="N492" s="232"/>
    </row>
    <row r="493" hidden="1" spans="1:14">
      <c r="A493" s="235"/>
      <c r="B493" s="230" t="s">
        <v>1032</v>
      </c>
      <c r="C493" s="229">
        <v>531.6894</v>
      </c>
      <c r="D493" s="229">
        <v>531.6894</v>
      </c>
      <c r="E493" s="229">
        <v>531.6894</v>
      </c>
      <c r="F493" s="229"/>
      <c r="G493" s="229"/>
      <c r="H493" s="229"/>
      <c r="I493" s="229"/>
      <c r="J493" s="229"/>
      <c r="K493" s="229"/>
      <c r="L493" s="229"/>
      <c r="M493" s="229"/>
      <c r="N493" s="232"/>
    </row>
    <row r="494" hidden="1" spans="1:14">
      <c r="A494" s="235"/>
      <c r="B494" s="230" t="s">
        <v>1028</v>
      </c>
      <c r="C494" s="229">
        <v>110.8932</v>
      </c>
      <c r="D494" s="229">
        <v>110.8932</v>
      </c>
      <c r="E494" s="229">
        <v>110.8932</v>
      </c>
      <c r="F494" s="229"/>
      <c r="G494" s="229"/>
      <c r="H494" s="229"/>
      <c r="I494" s="229"/>
      <c r="J494" s="229"/>
      <c r="K494" s="229"/>
      <c r="L494" s="229"/>
      <c r="M494" s="229"/>
      <c r="N494" s="232"/>
    </row>
    <row r="495" hidden="1" spans="1:14">
      <c r="A495" s="235"/>
      <c r="B495" s="230" t="s">
        <v>1036</v>
      </c>
      <c r="C495" s="229">
        <v>63.802728</v>
      </c>
      <c r="D495" s="229">
        <v>63.802728</v>
      </c>
      <c r="E495" s="229">
        <v>63.802728</v>
      </c>
      <c r="F495" s="229"/>
      <c r="G495" s="229"/>
      <c r="H495" s="229"/>
      <c r="I495" s="229"/>
      <c r="J495" s="229"/>
      <c r="K495" s="229"/>
      <c r="L495" s="229"/>
      <c r="M495" s="229"/>
      <c r="N495" s="232"/>
    </row>
    <row r="496" hidden="1" spans="1:14">
      <c r="A496" s="235"/>
      <c r="B496" s="230" t="s">
        <v>1042</v>
      </c>
      <c r="C496" s="229">
        <v>0.17</v>
      </c>
      <c r="D496" s="229">
        <v>0.17</v>
      </c>
      <c r="E496" s="229">
        <v>0.17</v>
      </c>
      <c r="F496" s="229"/>
      <c r="G496" s="229"/>
      <c r="H496" s="229"/>
      <c r="I496" s="229"/>
      <c r="J496" s="229"/>
      <c r="K496" s="229"/>
      <c r="L496" s="229"/>
      <c r="M496" s="229"/>
      <c r="N496" s="232"/>
    </row>
    <row r="497" spans="1:14">
      <c r="A497" s="227" t="s">
        <v>1051</v>
      </c>
      <c r="B497" s="231" t="s">
        <v>665</v>
      </c>
      <c r="C497" s="229">
        <v>182.26835</v>
      </c>
      <c r="D497" s="229">
        <v>182.26835</v>
      </c>
      <c r="E497" s="229">
        <v>182.26835</v>
      </c>
      <c r="F497" s="229"/>
      <c r="G497" s="229"/>
      <c r="H497" s="229"/>
      <c r="I497" s="229"/>
      <c r="J497" s="229"/>
      <c r="K497" s="229"/>
      <c r="L497" s="229"/>
      <c r="M497" s="229"/>
      <c r="N497" s="233" t="s">
        <v>578</v>
      </c>
    </row>
    <row r="498" hidden="1" spans="1:14">
      <c r="A498" s="235"/>
      <c r="B498" s="230" t="s">
        <v>1033</v>
      </c>
      <c r="C498" s="229">
        <v>32.835986</v>
      </c>
      <c r="D498" s="229">
        <v>32.835986</v>
      </c>
      <c r="E498" s="229">
        <v>32.835986</v>
      </c>
      <c r="F498" s="229"/>
      <c r="G498" s="229"/>
      <c r="H498" s="229"/>
      <c r="I498" s="229"/>
      <c r="J498" s="229"/>
      <c r="K498" s="229"/>
      <c r="L498" s="229"/>
      <c r="M498" s="229"/>
      <c r="N498" s="232"/>
    </row>
    <row r="499" hidden="1" spans="1:14">
      <c r="A499" s="235"/>
      <c r="B499" s="230" t="s">
        <v>1036</v>
      </c>
      <c r="C499" s="229">
        <v>12.907512</v>
      </c>
      <c r="D499" s="229">
        <v>12.907512</v>
      </c>
      <c r="E499" s="229">
        <v>12.907512</v>
      </c>
      <c r="F499" s="229"/>
      <c r="G499" s="229"/>
      <c r="H499" s="229"/>
      <c r="I499" s="229"/>
      <c r="J499" s="229"/>
      <c r="K499" s="229"/>
      <c r="L499" s="229"/>
      <c r="M499" s="229"/>
      <c r="N499" s="232"/>
    </row>
    <row r="500" hidden="1" spans="1:14">
      <c r="A500" s="235"/>
      <c r="B500" s="230" t="s">
        <v>1035</v>
      </c>
      <c r="C500" s="229">
        <v>0.6</v>
      </c>
      <c r="D500" s="229">
        <v>0.6</v>
      </c>
      <c r="E500" s="229">
        <v>0.6</v>
      </c>
      <c r="F500" s="229"/>
      <c r="G500" s="229"/>
      <c r="H500" s="229"/>
      <c r="I500" s="229"/>
      <c r="J500" s="229"/>
      <c r="K500" s="229"/>
      <c r="L500" s="229"/>
      <c r="M500" s="229"/>
      <c r="N500" s="232"/>
    </row>
    <row r="501" hidden="1" spans="1:14">
      <c r="A501" s="235"/>
      <c r="B501" s="230" t="s">
        <v>1039</v>
      </c>
      <c r="C501" s="229">
        <v>2.151252</v>
      </c>
      <c r="D501" s="229">
        <v>2.151252</v>
      </c>
      <c r="E501" s="229">
        <v>2.151252</v>
      </c>
      <c r="F501" s="229"/>
      <c r="G501" s="229"/>
      <c r="H501" s="229"/>
      <c r="I501" s="229"/>
      <c r="J501" s="229"/>
      <c r="K501" s="229"/>
      <c r="L501" s="229"/>
      <c r="M501" s="229"/>
      <c r="N501" s="232"/>
    </row>
    <row r="502" hidden="1" spans="1:14">
      <c r="A502" s="235"/>
      <c r="B502" s="230" t="s">
        <v>1037</v>
      </c>
      <c r="C502" s="229">
        <v>0.441</v>
      </c>
      <c r="D502" s="229">
        <v>0.441</v>
      </c>
      <c r="E502" s="229">
        <v>0.441</v>
      </c>
      <c r="F502" s="229"/>
      <c r="G502" s="229"/>
      <c r="H502" s="229"/>
      <c r="I502" s="229"/>
      <c r="J502" s="229"/>
      <c r="K502" s="229"/>
      <c r="L502" s="229"/>
      <c r="M502" s="229"/>
      <c r="N502" s="232"/>
    </row>
    <row r="503" hidden="1" spans="1:14">
      <c r="A503" s="235"/>
      <c r="B503" s="230" t="s">
        <v>1031</v>
      </c>
      <c r="C503" s="229">
        <v>0.66</v>
      </c>
      <c r="D503" s="229">
        <v>0.66</v>
      </c>
      <c r="E503" s="229">
        <v>0.66</v>
      </c>
      <c r="F503" s="229"/>
      <c r="G503" s="229"/>
      <c r="H503" s="229"/>
      <c r="I503" s="229"/>
      <c r="J503" s="229"/>
      <c r="K503" s="229"/>
      <c r="L503" s="229"/>
      <c r="M503" s="229"/>
      <c r="N503" s="232"/>
    </row>
    <row r="504" hidden="1" spans="1:14">
      <c r="A504" s="235"/>
      <c r="B504" s="230" t="s">
        <v>1038</v>
      </c>
      <c r="C504" s="229">
        <v>0.18</v>
      </c>
      <c r="D504" s="229">
        <v>0.18</v>
      </c>
      <c r="E504" s="229">
        <v>0.18</v>
      </c>
      <c r="F504" s="229"/>
      <c r="G504" s="229"/>
      <c r="H504" s="229"/>
      <c r="I504" s="229"/>
      <c r="J504" s="229"/>
      <c r="K504" s="229"/>
      <c r="L504" s="229"/>
      <c r="M504" s="229"/>
      <c r="N504" s="232"/>
    </row>
    <row r="505" hidden="1" spans="1:14">
      <c r="A505" s="235"/>
      <c r="B505" s="230" t="s">
        <v>1029</v>
      </c>
      <c r="C505" s="229">
        <v>7.29</v>
      </c>
      <c r="D505" s="229">
        <v>7.29</v>
      </c>
      <c r="E505" s="229">
        <v>7.29</v>
      </c>
      <c r="F505" s="229"/>
      <c r="G505" s="229"/>
      <c r="H505" s="229"/>
      <c r="I505" s="229"/>
      <c r="J505" s="229"/>
      <c r="K505" s="229"/>
      <c r="L505" s="229"/>
      <c r="M505" s="229"/>
      <c r="N505" s="232"/>
    </row>
    <row r="506" hidden="1" spans="1:14">
      <c r="A506" s="235"/>
      <c r="B506" s="230" t="s">
        <v>1032</v>
      </c>
      <c r="C506" s="229">
        <v>107.5626</v>
      </c>
      <c r="D506" s="229">
        <v>107.5626</v>
      </c>
      <c r="E506" s="229">
        <v>107.5626</v>
      </c>
      <c r="F506" s="229"/>
      <c r="G506" s="229"/>
      <c r="H506" s="229"/>
      <c r="I506" s="229"/>
      <c r="J506" s="229"/>
      <c r="K506" s="229"/>
      <c r="L506" s="229"/>
      <c r="M506" s="229"/>
      <c r="N506" s="232"/>
    </row>
    <row r="507" hidden="1" spans="1:14">
      <c r="A507" s="235"/>
      <c r="B507" s="230" t="s">
        <v>1028</v>
      </c>
      <c r="C507" s="229">
        <v>17.64</v>
      </c>
      <c r="D507" s="229">
        <v>17.64</v>
      </c>
      <c r="E507" s="229">
        <v>17.64</v>
      </c>
      <c r="F507" s="229"/>
      <c r="G507" s="229"/>
      <c r="H507" s="229"/>
      <c r="I507" s="229"/>
      <c r="J507" s="229"/>
      <c r="K507" s="229"/>
      <c r="L507" s="229"/>
      <c r="M507" s="229"/>
      <c r="N507" s="232"/>
    </row>
    <row r="508" spans="1:14">
      <c r="A508" s="227" t="s">
        <v>1052</v>
      </c>
      <c r="B508" s="231" t="s">
        <v>666</v>
      </c>
      <c r="C508" s="229">
        <v>333.996975</v>
      </c>
      <c r="D508" s="229">
        <v>333.996975</v>
      </c>
      <c r="E508" s="229">
        <v>205.479779</v>
      </c>
      <c r="F508" s="229">
        <v>128.517196</v>
      </c>
      <c r="G508" s="229"/>
      <c r="H508" s="229"/>
      <c r="I508" s="229"/>
      <c r="J508" s="229"/>
      <c r="K508" s="229"/>
      <c r="L508" s="229"/>
      <c r="M508" s="229"/>
      <c r="N508" s="233" t="s">
        <v>578</v>
      </c>
    </row>
    <row r="509" hidden="1" spans="1:14">
      <c r="A509" s="235"/>
      <c r="B509" s="230" t="s">
        <v>1034</v>
      </c>
      <c r="C509" s="229">
        <v>4.056</v>
      </c>
      <c r="D509" s="229">
        <v>4.056</v>
      </c>
      <c r="E509" s="229">
        <v>4.056</v>
      </c>
      <c r="F509" s="229"/>
      <c r="G509" s="229"/>
      <c r="H509" s="229"/>
      <c r="I509" s="229"/>
      <c r="J509" s="229"/>
      <c r="K509" s="229"/>
      <c r="L509" s="229"/>
      <c r="M509" s="229"/>
      <c r="N509" s="232"/>
    </row>
    <row r="510" hidden="1" spans="1:14">
      <c r="A510" s="235"/>
      <c r="B510" s="230" t="s">
        <v>1027</v>
      </c>
      <c r="C510" s="229">
        <v>4</v>
      </c>
      <c r="D510" s="229">
        <v>4</v>
      </c>
      <c r="E510" s="229">
        <v>4</v>
      </c>
      <c r="F510" s="229"/>
      <c r="G510" s="229"/>
      <c r="H510" s="229"/>
      <c r="I510" s="229"/>
      <c r="J510" s="229"/>
      <c r="K510" s="229"/>
      <c r="L510" s="229"/>
      <c r="M510" s="229"/>
      <c r="N510" s="232"/>
    </row>
    <row r="511" hidden="1" spans="1:14">
      <c r="A511" s="235"/>
      <c r="B511" s="230" t="s">
        <v>1037</v>
      </c>
      <c r="C511" s="229">
        <v>0.3675</v>
      </c>
      <c r="D511" s="229">
        <v>0.3675</v>
      </c>
      <c r="E511" s="229">
        <v>0.3675</v>
      </c>
      <c r="F511" s="229"/>
      <c r="G511" s="229"/>
      <c r="H511" s="229"/>
      <c r="I511" s="229"/>
      <c r="J511" s="229"/>
      <c r="K511" s="229"/>
      <c r="L511" s="229"/>
      <c r="M511" s="229"/>
      <c r="N511" s="232"/>
    </row>
    <row r="512" hidden="1" spans="1:14">
      <c r="A512" s="235"/>
      <c r="B512" s="230" t="s">
        <v>1029</v>
      </c>
      <c r="C512" s="229">
        <v>13.7275</v>
      </c>
      <c r="D512" s="229">
        <v>13.7275</v>
      </c>
      <c r="E512" s="229">
        <v>10.8775</v>
      </c>
      <c r="F512" s="229">
        <v>2.85</v>
      </c>
      <c r="G512" s="229"/>
      <c r="H512" s="229"/>
      <c r="I512" s="229"/>
      <c r="J512" s="229"/>
      <c r="K512" s="229"/>
      <c r="L512" s="229"/>
      <c r="M512" s="229"/>
      <c r="N512" s="232"/>
    </row>
    <row r="513" hidden="1" spans="1:14">
      <c r="A513" s="235"/>
      <c r="B513" s="230" t="s">
        <v>1038</v>
      </c>
      <c r="C513" s="229">
        <v>0.12</v>
      </c>
      <c r="D513" s="229">
        <v>0.12</v>
      </c>
      <c r="E513" s="229">
        <v>0.12</v>
      </c>
      <c r="F513" s="229"/>
      <c r="G513" s="229"/>
      <c r="H513" s="229"/>
      <c r="I513" s="229"/>
      <c r="J513" s="229"/>
      <c r="K513" s="229"/>
      <c r="L513" s="229"/>
      <c r="M513" s="229"/>
      <c r="N513" s="232"/>
    </row>
    <row r="514" hidden="1" spans="1:14">
      <c r="A514" s="235"/>
      <c r="B514" s="230" t="s">
        <v>1039</v>
      </c>
      <c r="C514" s="229">
        <v>4.0415</v>
      </c>
      <c r="D514" s="229">
        <v>4.0415</v>
      </c>
      <c r="E514" s="229">
        <v>3.30272</v>
      </c>
      <c r="F514" s="229">
        <v>0.73878</v>
      </c>
      <c r="G514" s="229"/>
      <c r="H514" s="229"/>
      <c r="I514" s="229"/>
      <c r="J514" s="229"/>
      <c r="K514" s="229"/>
      <c r="L514" s="229"/>
      <c r="M514" s="229"/>
      <c r="N514" s="232"/>
    </row>
    <row r="515" hidden="1" spans="1:14">
      <c r="A515" s="235"/>
      <c r="B515" s="230" t="s">
        <v>1033</v>
      </c>
      <c r="C515" s="229">
        <v>56.860475</v>
      </c>
      <c r="D515" s="229">
        <v>56.860475</v>
      </c>
      <c r="E515" s="229">
        <v>47.455739</v>
      </c>
      <c r="F515" s="229">
        <v>9.404736</v>
      </c>
      <c r="G515" s="229"/>
      <c r="H515" s="229"/>
      <c r="I515" s="229"/>
      <c r="J515" s="229"/>
      <c r="K515" s="229"/>
      <c r="L515" s="229"/>
      <c r="M515" s="229"/>
      <c r="N515" s="232"/>
    </row>
    <row r="516" hidden="1" spans="1:14">
      <c r="A516" s="235"/>
      <c r="B516" s="230" t="s">
        <v>1032</v>
      </c>
      <c r="C516" s="229">
        <v>202.075</v>
      </c>
      <c r="D516" s="229">
        <v>202.075</v>
      </c>
      <c r="E516" s="229">
        <v>99.624</v>
      </c>
      <c r="F516" s="229">
        <v>102.451</v>
      </c>
      <c r="G516" s="229"/>
      <c r="H516" s="229"/>
      <c r="I516" s="229"/>
      <c r="J516" s="229"/>
      <c r="K516" s="229"/>
      <c r="L516" s="229"/>
      <c r="M516" s="229"/>
      <c r="N516" s="232"/>
    </row>
    <row r="517" hidden="1" spans="1:14">
      <c r="A517" s="235"/>
      <c r="B517" s="230" t="s">
        <v>1031</v>
      </c>
      <c r="C517" s="229">
        <v>9.3</v>
      </c>
      <c r="D517" s="229">
        <v>9.3</v>
      </c>
      <c r="E517" s="229">
        <v>0.66</v>
      </c>
      <c r="F517" s="229">
        <v>8.64</v>
      </c>
      <c r="G517" s="229"/>
      <c r="H517" s="229"/>
      <c r="I517" s="229"/>
      <c r="J517" s="229"/>
      <c r="K517" s="229"/>
      <c r="L517" s="229"/>
      <c r="M517" s="229"/>
      <c r="N517" s="232"/>
    </row>
    <row r="518" hidden="1" spans="1:14">
      <c r="A518" s="235"/>
      <c r="B518" s="230" t="s">
        <v>1035</v>
      </c>
      <c r="C518" s="229">
        <v>0.5</v>
      </c>
      <c r="D518" s="229">
        <v>0.5</v>
      </c>
      <c r="E518" s="229">
        <v>0.5</v>
      </c>
      <c r="F518" s="229"/>
      <c r="G518" s="229"/>
      <c r="H518" s="229"/>
      <c r="I518" s="229"/>
      <c r="J518" s="229"/>
      <c r="K518" s="229"/>
      <c r="L518" s="229"/>
      <c r="M518" s="229"/>
      <c r="N518" s="232"/>
    </row>
    <row r="519" hidden="1" spans="1:14">
      <c r="A519" s="235"/>
      <c r="B519" s="230" t="s">
        <v>1028</v>
      </c>
      <c r="C519" s="229">
        <v>14.7</v>
      </c>
      <c r="D519" s="229">
        <v>14.7</v>
      </c>
      <c r="E519" s="229">
        <v>14.7</v>
      </c>
      <c r="F519" s="229"/>
      <c r="G519" s="229"/>
      <c r="H519" s="229"/>
      <c r="I519" s="229"/>
      <c r="J519" s="229"/>
      <c r="K519" s="229"/>
      <c r="L519" s="229"/>
      <c r="M519" s="229"/>
      <c r="N519" s="232"/>
    </row>
    <row r="520" hidden="1" spans="1:14">
      <c r="A520" s="235"/>
      <c r="B520" s="230" t="s">
        <v>1036</v>
      </c>
      <c r="C520" s="229">
        <v>24.249</v>
      </c>
      <c r="D520" s="229">
        <v>24.249</v>
      </c>
      <c r="E520" s="229">
        <v>19.81632</v>
      </c>
      <c r="F520" s="229">
        <v>4.43268</v>
      </c>
      <c r="G520" s="229"/>
      <c r="H520" s="229"/>
      <c r="I520" s="229"/>
      <c r="J520" s="229"/>
      <c r="K520" s="229"/>
      <c r="L520" s="229"/>
      <c r="M520" s="229"/>
      <c r="N520" s="232"/>
    </row>
    <row r="521" spans="1:14">
      <c r="A521" s="227" t="s">
        <v>1053</v>
      </c>
      <c r="B521" s="231" t="s">
        <v>667</v>
      </c>
      <c r="C521" s="229">
        <v>545.485582</v>
      </c>
      <c r="D521" s="229">
        <v>545.485582</v>
      </c>
      <c r="E521" s="229">
        <v>545.485582</v>
      </c>
      <c r="F521" s="229"/>
      <c r="G521" s="229"/>
      <c r="H521" s="229"/>
      <c r="I521" s="229"/>
      <c r="J521" s="229"/>
      <c r="K521" s="229"/>
      <c r="L521" s="229"/>
      <c r="M521" s="229"/>
      <c r="N521" s="233" t="s">
        <v>578</v>
      </c>
    </row>
    <row r="522" hidden="1" spans="1:14">
      <c r="A522" s="235"/>
      <c r="B522" s="230" t="s">
        <v>1039</v>
      </c>
      <c r="C522" s="229">
        <v>6.403074</v>
      </c>
      <c r="D522" s="229">
        <v>6.403074</v>
      </c>
      <c r="E522" s="229">
        <v>6.403074</v>
      </c>
      <c r="F522" s="229"/>
      <c r="G522" s="229"/>
      <c r="H522" s="229"/>
      <c r="I522" s="229"/>
      <c r="J522" s="229"/>
      <c r="K522" s="229"/>
      <c r="L522" s="229"/>
      <c r="M522" s="229"/>
      <c r="N522" s="232"/>
    </row>
    <row r="523" hidden="1" spans="1:14">
      <c r="A523" s="235"/>
      <c r="B523" s="230" t="s">
        <v>1037</v>
      </c>
      <c r="C523" s="229">
        <v>1.323</v>
      </c>
      <c r="D523" s="229">
        <v>1.323</v>
      </c>
      <c r="E523" s="229">
        <v>1.323</v>
      </c>
      <c r="F523" s="229"/>
      <c r="G523" s="229"/>
      <c r="H523" s="229"/>
      <c r="I523" s="229"/>
      <c r="J523" s="229"/>
      <c r="K523" s="229"/>
      <c r="L523" s="229"/>
      <c r="M523" s="229"/>
      <c r="N523" s="232"/>
    </row>
    <row r="524" hidden="1" spans="1:14">
      <c r="A524" s="235"/>
      <c r="B524" s="230" t="s">
        <v>1035</v>
      </c>
      <c r="C524" s="229">
        <v>1.8</v>
      </c>
      <c r="D524" s="229">
        <v>1.8</v>
      </c>
      <c r="E524" s="229">
        <v>1.8</v>
      </c>
      <c r="F524" s="229"/>
      <c r="G524" s="229"/>
      <c r="H524" s="229"/>
      <c r="I524" s="229"/>
      <c r="J524" s="229"/>
      <c r="K524" s="229"/>
      <c r="L524" s="229"/>
      <c r="M524" s="229"/>
      <c r="N524" s="232"/>
    </row>
    <row r="525" hidden="1" spans="1:14">
      <c r="A525" s="235"/>
      <c r="B525" s="230" t="s">
        <v>1032</v>
      </c>
      <c r="C525" s="229">
        <v>320.153692</v>
      </c>
      <c r="D525" s="229">
        <v>320.153692</v>
      </c>
      <c r="E525" s="229">
        <v>320.153692</v>
      </c>
      <c r="F525" s="229"/>
      <c r="G525" s="229"/>
      <c r="H525" s="229"/>
      <c r="I525" s="229"/>
      <c r="J525" s="229"/>
      <c r="K525" s="229"/>
      <c r="L525" s="229"/>
      <c r="M525" s="229"/>
      <c r="N525" s="232"/>
    </row>
    <row r="526" hidden="1" spans="1:14">
      <c r="A526" s="235"/>
      <c r="B526" s="230" t="s">
        <v>1036</v>
      </c>
      <c r="C526" s="229">
        <v>38.418443</v>
      </c>
      <c r="D526" s="229">
        <v>38.418443</v>
      </c>
      <c r="E526" s="229">
        <v>38.418443</v>
      </c>
      <c r="F526" s="229"/>
      <c r="G526" s="229"/>
      <c r="H526" s="229"/>
      <c r="I526" s="229"/>
      <c r="J526" s="229"/>
      <c r="K526" s="229"/>
      <c r="L526" s="229"/>
      <c r="M526" s="229"/>
      <c r="N526" s="232"/>
    </row>
    <row r="527" hidden="1" spans="1:14">
      <c r="A527" s="235"/>
      <c r="B527" s="230" t="s">
        <v>1033</v>
      </c>
      <c r="C527" s="229">
        <v>96.484373</v>
      </c>
      <c r="D527" s="229">
        <v>96.484373</v>
      </c>
      <c r="E527" s="229">
        <v>96.484373</v>
      </c>
      <c r="F527" s="229"/>
      <c r="G527" s="229"/>
      <c r="H527" s="229"/>
      <c r="I527" s="229"/>
      <c r="J527" s="229"/>
      <c r="K527" s="229"/>
      <c r="L527" s="229"/>
      <c r="M527" s="229"/>
      <c r="N527" s="232"/>
    </row>
    <row r="528" hidden="1" spans="1:14">
      <c r="A528" s="235"/>
      <c r="B528" s="230" t="s">
        <v>1038</v>
      </c>
      <c r="C528" s="229">
        <v>0.3</v>
      </c>
      <c r="D528" s="229">
        <v>0.3</v>
      </c>
      <c r="E528" s="229">
        <v>0.3</v>
      </c>
      <c r="F528" s="229"/>
      <c r="G528" s="229"/>
      <c r="H528" s="229"/>
      <c r="I528" s="229"/>
      <c r="J528" s="229"/>
      <c r="K528" s="229"/>
      <c r="L528" s="229"/>
      <c r="M528" s="229"/>
      <c r="N528" s="232"/>
    </row>
    <row r="529" hidden="1" spans="1:14">
      <c r="A529" s="235"/>
      <c r="B529" s="230" t="s">
        <v>1034</v>
      </c>
      <c r="C529" s="229">
        <v>2.028</v>
      </c>
      <c r="D529" s="229">
        <v>2.028</v>
      </c>
      <c r="E529" s="229">
        <v>2.028</v>
      </c>
      <c r="F529" s="229"/>
      <c r="G529" s="229"/>
      <c r="H529" s="229"/>
      <c r="I529" s="229"/>
      <c r="J529" s="229"/>
      <c r="K529" s="229"/>
      <c r="L529" s="229"/>
      <c r="M529" s="229"/>
      <c r="N529" s="232"/>
    </row>
    <row r="530" hidden="1" spans="1:14">
      <c r="A530" s="235"/>
      <c r="B530" s="230" t="s">
        <v>1029</v>
      </c>
      <c r="C530" s="229">
        <v>20.995</v>
      </c>
      <c r="D530" s="229">
        <v>20.995</v>
      </c>
      <c r="E530" s="229">
        <v>20.995</v>
      </c>
      <c r="F530" s="229"/>
      <c r="G530" s="229"/>
      <c r="H530" s="229"/>
      <c r="I530" s="229"/>
      <c r="J530" s="229"/>
      <c r="K530" s="229"/>
      <c r="L530" s="229"/>
      <c r="M530" s="229"/>
      <c r="N530" s="232"/>
    </row>
    <row r="531" hidden="1" spans="1:14">
      <c r="A531" s="235"/>
      <c r="B531" s="230" t="s">
        <v>1027</v>
      </c>
      <c r="C531" s="229">
        <v>4</v>
      </c>
      <c r="D531" s="229">
        <v>4</v>
      </c>
      <c r="E531" s="229">
        <v>4</v>
      </c>
      <c r="F531" s="229"/>
      <c r="G531" s="229"/>
      <c r="H531" s="229"/>
      <c r="I531" s="229"/>
      <c r="J531" s="229"/>
      <c r="K531" s="229"/>
      <c r="L531" s="229"/>
      <c r="M531" s="229"/>
      <c r="N531" s="232"/>
    </row>
    <row r="532" hidden="1" spans="1:14">
      <c r="A532" s="235"/>
      <c r="B532" s="230" t="s">
        <v>1028</v>
      </c>
      <c r="C532" s="229">
        <v>52.92</v>
      </c>
      <c r="D532" s="229">
        <v>52.92</v>
      </c>
      <c r="E532" s="229">
        <v>52.92</v>
      </c>
      <c r="F532" s="229"/>
      <c r="G532" s="229"/>
      <c r="H532" s="229"/>
      <c r="I532" s="229"/>
      <c r="J532" s="229"/>
      <c r="K532" s="229"/>
      <c r="L532" s="229"/>
      <c r="M532" s="229"/>
      <c r="N532" s="232"/>
    </row>
    <row r="533" hidden="1" spans="1:14">
      <c r="A533" s="235"/>
      <c r="B533" s="230" t="s">
        <v>1031</v>
      </c>
      <c r="C533" s="229">
        <v>0.66</v>
      </c>
      <c r="D533" s="229">
        <v>0.66</v>
      </c>
      <c r="E533" s="229">
        <v>0.66</v>
      </c>
      <c r="F533" s="229"/>
      <c r="G533" s="229"/>
      <c r="H533" s="229"/>
      <c r="I533" s="229"/>
      <c r="J533" s="229"/>
      <c r="K533" s="229"/>
      <c r="L533" s="229"/>
      <c r="M533" s="229"/>
      <c r="N533" s="232"/>
    </row>
    <row r="534" spans="1:14">
      <c r="A534" s="227" t="s">
        <v>1054</v>
      </c>
      <c r="B534" s="231" t="s">
        <v>668</v>
      </c>
      <c r="C534" s="229">
        <v>103.143112</v>
      </c>
      <c r="D534" s="229">
        <v>103.143112</v>
      </c>
      <c r="E534" s="229">
        <v>103.143112</v>
      </c>
      <c r="F534" s="229"/>
      <c r="G534" s="229"/>
      <c r="H534" s="229"/>
      <c r="I534" s="229"/>
      <c r="J534" s="229"/>
      <c r="K534" s="229"/>
      <c r="L534" s="229"/>
      <c r="M534" s="229"/>
      <c r="N534" s="233" t="s">
        <v>578</v>
      </c>
    </row>
    <row r="535" hidden="1" spans="1:14">
      <c r="A535" s="235"/>
      <c r="B535" s="230" t="s">
        <v>1037</v>
      </c>
      <c r="C535" s="229">
        <v>0.2205</v>
      </c>
      <c r="D535" s="229">
        <v>0.2205</v>
      </c>
      <c r="E535" s="229">
        <v>0.2205</v>
      </c>
      <c r="F535" s="229"/>
      <c r="G535" s="229"/>
      <c r="H535" s="229"/>
      <c r="I535" s="229"/>
      <c r="J535" s="229"/>
      <c r="K535" s="229"/>
      <c r="L535" s="229"/>
      <c r="M535" s="229"/>
      <c r="N535" s="232"/>
    </row>
    <row r="536" hidden="1" spans="1:14">
      <c r="A536" s="235"/>
      <c r="B536" s="230" t="s">
        <v>1035</v>
      </c>
      <c r="C536" s="229">
        <v>0.3</v>
      </c>
      <c r="D536" s="229">
        <v>0.3</v>
      </c>
      <c r="E536" s="229">
        <v>0.3</v>
      </c>
      <c r="F536" s="229"/>
      <c r="G536" s="229"/>
      <c r="H536" s="229"/>
      <c r="I536" s="229"/>
      <c r="J536" s="229"/>
      <c r="K536" s="229"/>
      <c r="L536" s="229"/>
      <c r="M536" s="229"/>
      <c r="N536" s="232"/>
    </row>
    <row r="537" hidden="1" spans="1:14">
      <c r="A537" s="235"/>
      <c r="B537" s="230" t="s">
        <v>1030</v>
      </c>
      <c r="C537" s="229">
        <v>4</v>
      </c>
      <c r="D537" s="229">
        <v>4</v>
      </c>
      <c r="E537" s="229">
        <v>4</v>
      </c>
      <c r="F537" s="229"/>
      <c r="G537" s="229"/>
      <c r="H537" s="229"/>
      <c r="I537" s="229"/>
      <c r="J537" s="229"/>
      <c r="K537" s="229"/>
      <c r="L537" s="229"/>
      <c r="M537" s="229"/>
      <c r="N537" s="232"/>
    </row>
    <row r="538" hidden="1" spans="1:14">
      <c r="A538" s="235"/>
      <c r="B538" s="230" t="s">
        <v>1039</v>
      </c>
      <c r="C538" s="229">
        <v>1.18932</v>
      </c>
      <c r="D538" s="229">
        <v>1.18932</v>
      </c>
      <c r="E538" s="229">
        <v>1.18932</v>
      </c>
      <c r="F538" s="229"/>
      <c r="G538" s="229"/>
      <c r="H538" s="229"/>
      <c r="I538" s="229"/>
      <c r="J538" s="229"/>
      <c r="K538" s="229"/>
      <c r="L538" s="229"/>
      <c r="M538" s="229"/>
      <c r="N538" s="232"/>
    </row>
    <row r="539" hidden="1" spans="1:14">
      <c r="A539" s="235"/>
      <c r="B539" s="230" t="s">
        <v>1038</v>
      </c>
      <c r="C539" s="229">
        <v>0.03</v>
      </c>
      <c r="D539" s="229">
        <v>0.03</v>
      </c>
      <c r="E539" s="229">
        <v>0.03</v>
      </c>
      <c r="F539" s="229"/>
      <c r="G539" s="229"/>
      <c r="H539" s="229"/>
      <c r="I539" s="229"/>
      <c r="J539" s="229"/>
      <c r="K539" s="229"/>
      <c r="L539" s="229"/>
      <c r="M539" s="229"/>
      <c r="N539" s="232"/>
    </row>
    <row r="540" hidden="1" spans="1:14">
      <c r="A540" s="235"/>
      <c r="B540" s="230" t="s">
        <v>1028</v>
      </c>
      <c r="C540" s="229">
        <v>8.82</v>
      </c>
      <c r="D540" s="229">
        <v>8.82</v>
      </c>
      <c r="E540" s="229">
        <v>8.82</v>
      </c>
      <c r="F540" s="229"/>
      <c r="G540" s="229"/>
      <c r="H540" s="229"/>
      <c r="I540" s="229"/>
      <c r="J540" s="229"/>
      <c r="K540" s="229"/>
      <c r="L540" s="229"/>
      <c r="M540" s="229"/>
      <c r="N540" s="232"/>
    </row>
    <row r="541" hidden="1" spans="1:14">
      <c r="A541" s="235"/>
      <c r="B541" s="230" t="s">
        <v>1032</v>
      </c>
      <c r="C541" s="229">
        <v>59.466</v>
      </c>
      <c r="D541" s="229">
        <v>59.466</v>
      </c>
      <c r="E541" s="229">
        <v>59.466</v>
      </c>
      <c r="F541" s="229"/>
      <c r="G541" s="229"/>
      <c r="H541" s="229"/>
      <c r="I541" s="229"/>
      <c r="J541" s="229"/>
      <c r="K541" s="229"/>
      <c r="L541" s="229"/>
      <c r="M541" s="229"/>
      <c r="N541" s="232"/>
    </row>
    <row r="542" hidden="1" spans="1:14">
      <c r="A542" s="235"/>
      <c r="B542" s="230" t="s">
        <v>1029</v>
      </c>
      <c r="C542" s="229">
        <v>4.05</v>
      </c>
      <c r="D542" s="229">
        <v>4.05</v>
      </c>
      <c r="E542" s="229">
        <v>4.05</v>
      </c>
      <c r="F542" s="229"/>
      <c r="G542" s="229"/>
      <c r="H542" s="229"/>
      <c r="I542" s="229"/>
      <c r="J542" s="229"/>
      <c r="K542" s="229"/>
      <c r="L542" s="229"/>
      <c r="M542" s="229"/>
      <c r="N542" s="232"/>
    </row>
    <row r="543" hidden="1" spans="1:14">
      <c r="A543" s="235"/>
      <c r="B543" s="230" t="s">
        <v>1033</v>
      </c>
      <c r="C543" s="229">
        <v>17.931372</v>
      </c>
      <c r="D543" s="229">
        <v>17.931372</v>
      </c>
      <c r="E543" s="229">
        <v>17.931372</v>
      </c>
      <c r="F543" s="229"/>
      <c r="G543" s="229"/>
      <c r="H543" s="229"/>
      <c r="I543" s="229"/>
      <c r="J543" s="229"/>
      <c r="K543" s="229"/>
      <c r="L543" s="229"/>
      <c r="M543" s="229"/>
      <c r="N543" s="232"/>
    </row>
    <row r="544" hidden="1" spans="1:14">
      <c r="A544" s="235"/>
      <c r="B544" s="230" t="s">
        <v>1036</v>
      </c>
      <c r="C544" s="229">
        <v>7.13592</v>
      </c>
      <c r="D544" s="229">
        <v>7.13592</v>
      </c>
      <c r="E544" s="229">
        <v>7.13592</v>
      </c>
      <c r="F544" s="229"/>
      <c r="G544" s="229"/>
      <c r="H544" s="229"/>
      <c r="I544" s="229"/>
      <c r="J544" s="229"/>
      <c r="K544" s="229"/>
      <c r="L544" s="229"/>
      <c r="M544" s="229"/>
      <c r="N544" s="232"/>
    </row>
    <row r="545" spans="1:14">
      <c r="A545" s="227" t="s">
        <v>1055</v>
      </c>
      <c r="B545" s="231" t="s">
        <v>669</v>
      </c>
      <c r="C545" s="229">
        <v>310.723679</v>
      </c>
      <c r="D545" s="229">
        <v>310.723679</v>
      </c>
      <c r="E545" s="229">
        <v>310.723679</v>
      </c>
      <c r="F545" s="229"/>
      <c r="G545" s="229"/>
      <c r="H545" s="229"/>
      <c r="I545" s="229"/>
      <c r="J545" s="229"/>
      <c r="K545" s="229"/>
      <c r="L545" s="229"/>
      <c r="M545" s="229"/>
      <c r="N545" s="233" t="s">
        <v>578</v>
      </c>
    </row>
    <row r="546" hidden="1" spans="1:14">
      <c r="A546" s="235"/>
      <c r="B546" s="230" t="s">
        <v>1027</v>
      </c>
      <c r="C546" s="229">
        <v>6</v>
      </c>
      <c r="D546" s="229">
        <v>6</v>
      </c>
      <c r="E546" s="229">
        <v>6</v>
      </c>
      <c r="F546" s="229"/>
      <c r="G546" s="229"/>
      <c r="H546" s="229"/>
      <c r="I546" s="229"/>
      <c r="J546" s="229"/>
      <c r="K546" s="229"/>
      <c r="L546" s="229"/>
      <c r="M546" s="229"/>
      <c r="N546" s="232"/>
    </row>
    <row r="547" hidden="1" spans="1:14">
      <c r="A547" s="235"/>
      <c r="B547" s="230" t="s">
        <v>1038</v>
      </c>
      <c r="C547" s="229">
        <v>0.28</v>
      </c>
      <c r="D547" s="229">
        <v>0.28</v>
      </c>
      <c r="E547" s="229">
        <v>0.28</v>
      </c>
      <c r="F547" s="229"/>
      <c r="G547" s="229"/>
      <c r="H547" s="229"/>
      <c r="I547" s="229"/>
      <c r="J547" s="229"/>
      <c r="K547" s="229"/>
      <c r="L547" s="229"/>
      <c r="M547" s="229"/>
      <c r="N547" s="232"/>
    </row>
    <row r="548" hidden="1" spans="1:14">
      <c r="A548" s="235"/>
      <c r="B548" s="230" t="s">
        <v>1028</v>
      </c>
      <c r="C548" s="229">
        <v>25.0644</v>
      </c>
      <c r="D548" s="229">
        <v>25.0644</v>
      </c>
      <c r="E548" s="229">
        <v>25.0644</v>
      </c>
      <c r="F548" s="229"/>
      <c r="G548" s="229"/>
      <c r="H548" s="229"/>
      <c r="I548" s="229"/>
      <c r="J548" s="229"/>
      <c r="K548" s="229"/>
      <c r="L548" s="229"/>
      <c r="M548" s="229"/>
      <c r="N548" s="232"/>
    </row>
    <row r="549" hidden="1" spans="1:14">
      <c r="A549" s="235"/>
      <c r="B549" s="230" t="s">
        <v>1033</v>
      </c>
      <c r="C549" s="229">
        <v>52.319379</v>
      </c>
      <c r="D549" s="229">
        <v>52.319379</v>
      </c>
      <c r="E549" s="229">
        <v>52.319379</v>
      </c>
      <c r="F549" s="229"/>
      <c r="G549" s="229"/>
      <c r="H549" s="229"/>
      <c r="I549" s="229"/>
      <c r="J549" s="229"/>
      <c r="K549" s="229"/>
      <c r="L549" s="229"/>
      <c r="M549" s="229"/>
      <c r="N549" s="232"/>
    </row>
    <row r="550" hidden="1" spans="1:14">
      <c r="A550" s="235"/>
      <c r="B550" s="230" t="s">
        <v>1037</v>
      </c>
      <c r="C550" s="229">
        <v>0.62661</v>
      </c>
      <c r="D550" s="229">
        <v>0.62661</v>
      </c>
      <c r="E550" s="229">
        <v>0.62661</v>
      </c>
      <c r="F550" s="229"/>
      <c r="G550" s="229"/>
      <c r="H550" s="229"/>
      <c r="I550" s="229"/>
      <c r="J550" s="229"/>
      <c r="K550" s="229"/>
      <c r="L550" s="229"/>
      <c r="M550" s="229"/>
      <c r="N550" s="232"/>
    </row>
    <row r="551" hidden="1" spans="1:14">
      <c r="A551" s="235"/>
      <c r="B551" s="230" t="s">
        <v>1032</v>
      </c>
      <c r="C551" s="229">
        <v>177.6985</v>
      </c>
      <c r="D551" s="229">
        <v>177.6985</v>
      </c>
      <c r="E551" s="229">
        <v>177.6985</v>
      </c>
      <c r="F551" s="229"/>
      <c r="G551" s="229"/>
      <c r="H551" s="229"/>
      <c r="I551" s="229"/>
      <c r="J551" s="229"/>
      <c r="K551" s="229"/>
      <c r="L551" s="229"/>
      <c r="M551" s="229"/>
      <c r="N551" s="232"/>
    </row>
    <row r="552" hidden="1" spans="1:14">
      <c r="A552" s="235"/>
      <c r="B552" s="230" t="s">
        <v>1039</v>
      </c>
      <c r="C552" s="229">
        <v>3.55397</v>
      </c>
      <c r="D552" s="229">
        <v>3.55397</v>
      </c>
      <c r="E552" s="229">
        <v>3.55397</v>
      </c>
      <c r="F552" s="229"/>
      <c r="G552" s="229"/>
      <c r="H552" s="229"/>
      <c r="I552" s="229"/>
      <c r="J552" s="229"/>
      <c r="K552" s="229"/>
      <c r="L552" s="229"/>
      <c r="M552" s="229"/>
      <c r="N552" s="232"/>
    </row>
    <row r="553" hidden="1" spans="1:14">
      <c r="A553" s="235"/>
      <c r="B553" s="230" t="s">
        <v>1036</v>
      </c>
      <c r="C553" s="229">
        <v>21.32382</v>
      </c>
      <c r="D553" s="229">
        <v>21.32382</v>
      </c>
      <c r="E553" s="229">
        <v>21.32382</v>
      </c>
      <c r="F553" s="229"/>
      <c r="G553" s="229"/>
      <c r="H553" s="229"/>
      <c r="I553" s="229"/>
      <c r="J553" s="229"/>
      <c r="K553" s="229"/>
      <c r="L553" s="229"/>
      <c r="M553" s="229"/>
      <c r="N553" s="232"/>
    </row>
    <row r="554" hidden="1" spans="1:14">
      <c r="A554" s="235"/>
      <c r="B554" s="230" t="s">
        <v>1035</v>
      </c>
      <c r="C554" s="229">
        <v>0.78</v>
      </c>
      <c r="D554" s="229">
        <v>0.78</v>
      </c>
      <c r="E554" s="229">
        <v>0.78</v>
      </c>
      <c r="F554" s="229"/>
      <c r="G554" s="229"/>
      <c r="H554" s="229"/>
      <c r="I554" s="229"/>
      <c r="J554" s="229"/>
      <c r="K554" s="229"/>
      <c r="L554" s="229"/>
      <c r="M554" s="229"/>
      <c r="N554" s="232"/>
    </row>
    <row r="555" hidden="1" spans="1:14">
      <c r="A555" s="235"/>
      <c r="B555" s="230" t="s">
        <v>1031</v>
      </c>
      <c r="C555" s="229">
        <v>6.06</v>
      </c>
      <c r="D555" s="229">
        <v>6.06</v>
      </c>
      <c r="E555" s="229">
        <v>6.06</v>
      </c>
      <c r="F555" s="229"/>
      <c r="G555" s="229"/>
      <c r="H555" s="229"/>
      <c r="I555" s="229"/>
      <c r="J555" s="229"/>
      <c r="K555" s="229"/>
      <c r="L555" s="229"/>
      <c r="M555" s="229"/>
      <c r="N555" s="232"/>
    </row>
    <row r="556" hidden="1" spans="1:14">
      <c r="A556" s="235"/>
      <c r="B556" s="230" t="s">
        <v>1029</v>
      </c>
      <c r="C556" s="229">
        <v>17.017</v>
      </c>
      <c r="D556" s="229">
        <v>17.017</v>
      </c>
      <c r="E556" s="229">
        <v>17.017</v>
      </c>
      <c r="F556" s="229"/>
      <c r="G556" s="229"/>
      <c r="H556" s="229"/>
      <c r="I556" s="229"/>
      <c r="J556" s="229"/>
      <c r="K556" s="229"/>
      <c r="L556" s="229"/>
      <c r="M556" s="229"/>
      <c r="N556" s="232"/>
    </row>
    <row r="557" spans="1:14">
      <c r="A557" s="227" t="s">
        <v>1056</v>
      </c>
      <c r="B557" s="231" t="s">
        <v>670</v>
      </c>
      <c r="C557" s="229">
        <v>1150.756562</v>
      </c>
      <c r="D557" s="229">
        <v>1150.756562</v>
      </c>
      <c r="E557" s="229">
        <v>1150.756562</v>
      </c>
      <c r="F557" s="229"/>
      <c r="G557" s="229"/>
      <c r="H557" s="229"/>
      <c r="I557" s="229"/>
      <c r="J557" s="229"/>
      <c r="K557" s="229"/>
      <c r="L557" s="229"/>
      <c r="M557" s="229"/>
      <c r="N557" s="233" t="s">
        <v>578</v>
      </c>
    </row>
    <row r="558" hidden="1" spans="1:14">
      <c r="A558" s="235"/>
      <c r="B558" s="230" t="s">
        <v>1027</v>
      </c>
      <c r="C558" s="229">
        <v>8</v>
      </c>
      <c r="D558" s="229">
        <v>8</v>
      </c>
      <c r="E558" s="229">
        <v>8</v>
      </c>
      <c r="F558" s="229"/>
      <c r="G558" s="229"/>
      <c r="H558" s="229"/>
      <c r="I558" s="229"/>
      <c r="J558" s="229"/>
      <c r="K558" s="229"/>
      <c r="L558" s="229"/>
      <c r="M558" s="229"/>
      <c r="N558" s="232"/>
    </row>
    <row r="559" hidden="1" spans="1:14">
      <c r="A559" s="235"/>
      <c r="B559" s="230" t="s">
        <v>1032</v>
      </c>
      <c r="C559" s="229">
        <v>724.387836</v>
      </c>
      <c r="D559" s="229">
        <v>724.387836</v>
      </c>
      <c r="E559" s="229">
        <v>724.387836</v>
      </c>
      <c r="F559" s="229"/>
      <c r="G559" s="229"/>
      <c r="H559" s="229"/>
      <c r="I559" s="229"/>
      <c r="J559" s="229"/>
      <c r="K559" s="229"/>
      <c r="L559" s="229"/>
      <c r="M559" s="229"/>
      <c r="N559" s="232"/>
    </row>
    <row r="560" hidden="1" spans="1:14">
      <c r="A560" s="235"/>
      <c r="B560" s="230" t="s">
        <v>1029</v>
      </c>
      <c r="C560" s="229">
        <v>71.7145</v>
      </c>
      <c r="D560" s="229">
        <v>71.7145</v>
      </c>
      <c r="E560" s="229">
        <v>71.7145</v>
      </c>
      <c r="F560" s="229"/>
      <c r="G560" s="229"/>
      <c r="H560" s="229"/>
      <c r="I560" s="229"/>
      <c r="J560" s="229"/>
      <c r="K560" s="229"/>
      <c r="L560" s="229"/>
      <c r="M560" s="229"/>
      <c r="N560" s="232"/>
    </row>
    <row r="561" hidden="1" spans="1:14">
      <c r="A561" s="235"/>
      <c r="B561" s="230" t="s">
        <v>1035</v>
      </c>
      <c r="C561" s="229">
        <v>1.2</v>
      </c>
      <c r="D561" s="229">
        <v>1.2</v>
      </c>
      <c r="E561" s="229">
        <v>1.2</v>
      </c>
      <c r="F561" s="229"/>
      <c r="G561" s="229"/>
      <c r="H561" s="229"/>
      <c r="I561" s="229"/>
      <c r="J561" s="229"/>
      <c r="K561" s="229"/>
      <c r="L561" s="229"/>
      <c r="M561" s="229"/>
      <c r="N561" s="232"/>
    </row>
    <row r="562" hidden="1" spans="1:14">
      <c r="A562" s="235"/>
      <c r="B562" s="230" t="s">
        <v>1037</v>
      </c>
      <c r="C562" s="229">
        <v>1.332</v>
      </c>
      <c r="D562" s="229">
        <v>1.332</v>
      </c>
      <c r="E562" s="229">
        <v>1.332</v>
      </c>
      <c r="F562" s="229"/>
      <c r="G562" s="229"/>
      <c r="H562" s="229"/>
      <c r="I562" s="229"/>
      <c r="J562" s="229"/>
      <c r="K562" s="229"/>
      <c r="L562" s="229"/>
      <c r="M562" s="229"/>
      <c r="N562" s="232"/>
    </row>
    <row r="563" hidden="1" spans="1:14">
      <c r="A563" s="235"/>
      <c r="B563" s="230" t="s">
        <v>1038</v>
      </c>
      <c r="C563" s="229">
        <v>0.21</v>
      </c>
      <c r="D563" s="229">
        <v>0.21</v>
      </c>
      <c r="E563" s="229">
        <v>0.21</v>
      </c>
      <c r="F563" s="229"/>
      <c r="G563" s="229"/>
      <c r="H563" s="229"/>
      <c r="I563" s="229"/>
      <c r="J563" s="229"/>
      <c r="K563" s="229"/>
      <c r="L563" s="229"/>
      <c r="M563" s="229"/>
      <c r="N563" s="232"/>
    </row>
    <row r="564" hidden="1" spans="1:14">
      <c r="A564" s="235"/>
      <c r="B564" s="230" t="s">
        <v>1031</v>
      </c>
      <c r="C564" s="229">
        <v>7.428</v>
      </c>
      <c r="D564" s="229">
        <v>7.428</v>
      </c>
      <c r="E564" s="229">
        <v>7.428</v>
      </c>
      <c r="F564" s="229"/>
      <c r="G564" s="229"/>
      <c r="H564" s="229"/>
      <c r="I564" s="229"/>
      <c r="J564" s="229"/>
      <c r="K564" s="229"/>
      <c r="L564" s="229"/>
      <c r="M564" s="229"/>
      <c r="N564" s="232"/>
    </row>
    <row r="565" hidden="1" spans="1:14">
      <c r="A565" s="235"/>
      <c r="B565" s="230" t="s">
        <v>1028</v>
      </c>
      <c r="C565" s="229">
        <v>35.28</v>
      </c>
      <c r="D565" s="229">
        <v>35.28</v>
      </c>
      <c r="E565" s="229">
        <v>35.28</v>
      </c>
      <c r="F565" s="229"/>
      <c r="G565" s="229"/>
      <c r="H565" s="229"/>
      <c r="I565" s="229"/>
      <c r="J565" s="229"/>
      <c r="K565" s="229"/>
      <c r="L565" s="229"/>
      <c r="M565" s="229"/>
      <c r="N565" s="232"/>
    </row>
    <row r="566" hidden="1" spans="1:14">
      <c r="A566" s="235"/>
      <c r="B566" s="230" t="s">
        <v>1033</v>
      </c>
      <c r="C566" s="229">
        <v>199.789929</v>
      </c>
      <c r="D566" s="229">
        <v>199.789929</v>
      </c>
      <c r="E566" s="229">
        <v>199.789929</v>
      </c>
      <c r="F566" s="229"/>
      <c r="G566" s="229"/>
      <c r="H566" s="229"/>
      <c r="I566" s="229"/>
      <c r="J566" s="229"/>
      <c r="K566" s="229"/>
      <c r="L566" s="229"/>
      <c r="M566" s="229"/>
      <c r="N566" s="232"/>
    </row>
    <row r="567" hidden="1" spans="1:14">
      <c r="A567" s="235"/>
      <c r="B567" s="230" t="s">
        <v>1036</v>
      </c>
      <c r="C567" s="229">
        <v>86.92654</v>
      </c>
      <c r="D567" s="229">
        <v>86.92654</v>
      </c>
      <c r="E567" s="229">
        <v>86.92654</v>
      </c>
      <c r="F567" s="229"/>
      <c r="G567" s="229"/>
      <c r="H567" s="229"/>
      <c r="I567" s="229"/>
      <c r="J567" s="229"/>
      <c r="K567" s="229"/>
      <c r="L567" s="229"/>
      <c r="M567" s="229"/>
      <c r="N567" s="232"/>
    </row>
    <row r="568" hidden="1" spans="1:14">
      <c r="A568" s="235"/>
      <c r="B568" s="230" t="s">
        <v>1039</v>
      </c>
      <c r="C568" s="229">
        <v>14.487757</v>
      </c>
      <c r="D568" s="229">
        <v>14.487757</v>
      </c>
      <c r="E568" s="229">
        <v>14.487757</v>
      </c>
      <c r="F568" s="229"/>
      <c r="G568" s="229"/>
      <c r="H568" s="229"/>
      <c r="I568" s="229"/>
      <c r="J568" s="229"/>
      <c r="K568" s="229"/>
      <c r="L568" s="229"/>
      <c r="M568" s="229"/>
      <c r="N568" s="232"/>
    </row>
    <row r="569" spans="1:14">
      <c r="A569" s="227" t="s">
        <v>1057</v>
      </c>
      <c r="B569" s="231" t="s">
        <v>671</v>
      </c>
      <c r="C569" s="229">
        <v>1267.606294</v>
      </c>
      <c r="D569" s="229">
        <v>1267.606294</v>
      </c>
      <c r="E569" s="229">
        <v>1267.606294</v>
      </c>
      <c r="F569" s="229"/>
      <c r="G569" s="229"/>
      <c r="H569" s="229"/>
      <c r="I569" s="229"/>
      <c r="J569" s="229"/>
      <c r="K569" s="229"/>
      <c r="L569" s="229"/>
      <c r="M569" s="229"/>
      <c r="N569" s="233" t="s">
        <v>578</v>
      </c>
    </row>
    <row r="570" hidden="1" spans="1:14">
      <c r="A570" s="235"/>
      <c r="B570" s="230" t="s">
        <v>1033</v>
      </c>
      <c r="C570" s="229">
        <v>216.735404</v>
      </c>
      <c r="D570" s="229">
        <v>216.735404</v>
      </c>
      <c r="E570" s="229">
        <v>216.735404</v>
      </c>
      <c r="F570" s="229"/>
      <c r="G570" s="229"/>
      <c r="H570" s="229"/>
      <c r="I570" s="229"/>
      <c r="J570" s="229"/>
      <c r="K570" s="229"/>
      <c r="L570" s="229"/>
      <c r="M570" s="229"/>
      <c r="N570" s="232"/>
    </row>
    <row r="571" hidden="1" spans="1:14">
      <c r="A571" s="235"/>
      <c r="B571" s="230" t="s">
        <v>1028</v>
      </c>
      <c r="C571" s="229">
        <v>108.306</v>
      </c>
      <c r="D571" s="229">
        <v>108.306</v>
      </c>
      <c r="E571" s="229">
        <v>108.306</v>
      </c>
      <c r="F571" s="229"/>
      <c r="G571" s="229"/>
      <c r="H571" s="229"/>
      <c r="I571" s="229"/>
      <c r="J571" s="229"/>
      <c r="K571" s="229"/>
      <c r="L571" s="229"/>
      <c r="M571" s="229"/>
      <c r="N571" s="232"/>
    </row>
    <row r="572" hidden="1" spans="1:14">
      <c r="A572" s="235"/>
      <c r="B572" s="230" t="s">
        <v>1031</v>
      </c>
      <c r="C572" s="229">
        <v>21.468</v>
      </c>
      <c r="D572" s="229">
        <v>21.468</v>
      </c>
      <c r="E572" s="229">
        <v>21.468</v>
      </c>
      <c r="F572" s="229"/>
      <c r="G572" s="229"/>
      <c r="H572" s="229"/>
      <c r="I572" s="229"/>
      <c r="J572" s="229"/>
      <c r="K572" s="229"/>
      <c r="L572" s="229"/>
      <c r="M572" s="229"/>
      <c r="N572" s="232"/>
    </row>
    <row r="573" hidden="1" spans="1:14">
      <c r="A573" s="235"/>
      <c r="B573" s="230" t="s">
        <v>1039</v>
      </c>
      <c r="C573" s="229">
        <v>14.62572</v>
      </c>
      <c r="D573" s="229">
        <v>14.62572</v>
      </c>
      <c r="E573" s="229">
        <v>14.62572</v>
      </c>
      <c r="F573" s="229"/>
      <c r="G573" s="229"/>
      <c r="H573" s="229"/>
      <c r="I573" s="229"/>
      <c r="J573" s="229"/>
      <c r="K573" s="229"/>
      <c r="L573" s="229"/>
      <c r="M573" s="229"/>
      <c r="N573" s="232"/>
    </row>
    <row r="574" hidden="1" spans="1:14">
      <c r="A574" s="235"/>
      <c r="B574" s="230" t="s">
        <v>1027</v>
      </c>
      <c r="C574" s="229">
        <v>6</v>
      </c>
      <c r="D574" s="229">
        <v>6</v>
      </c>
      <c r="E574" s="229">
        <v>6</v>
      </c>
      <c r="F574" s="229"/>
      <c r="G574" s="229"/>
      <c r="H574" s="229"/>
      <c r="I574" s="229"/>
      <c r="J574" s="229"/>
      <c r="K574" s="229"/>
      <c r="L574" s="229"/>
      <c r="M574" s="229"/>
      <c r="N574" s="232"/>
    </row>
    <row r="575" hidden="1" spans="1:14">
      <c r="A575" s="235"/>
      <c r="B575" s="230" t="s">
        <v>1032</v>
      </c>
      <c r="C575" s="229">
        <v>731.286</v>
      </c>
      <c r="D575" s="229">
        <v>731.286</v>
      </c>
      <c r="E575" s="229">
        <v>731.286</v>
      </c>
      <c r="F575" s="229"/>
      <c r="G575" s="229"/>
      <c r="H575" s="229"/>
      <c r="I575" s="229"/>
      <c r="J575" s="229"/>
      <c r="K575" s="229"/>
      <c r="L575" s="229"/>
      <c r="M575" s="229"/>
      <c r="N575" s="232"/>
    </row>
    <row r="576" hidden="1" spans="1:14">
      <c r="A576" s="235"/>
      <c r="B576" s="230" t="s">
        <v>1036</v>
      </c>
      <c r="C576" s="229">
        <v>87.75432</v>
      </c>
      <c r="D576" s="229">
        <v>87.75432</v>
      </c>
      <c r="E576" s="229">
        <v>87.75432</v>
      </c>
      <c r="F576" s="229"/>
      <c r="G576" s="229"/>
      <c r="H576" s="229"/>
      <c r="I576" s="229"/>
      <c r="J576" s="229"/>
      <c r="K576" s="229"/>
      <c r="L576" s="229"/>
      <c r="M576" s="229"/>
      <c r="N576" s="232"/>
    </row>
    <row r="577" hidden="1" spans="1:14">
      <c r="A577" s="235"/>
      <c r="B577" s="230" t="s">
        <v>1029</v>
      </c>
      <c r="C577" s="229">
        <v>69.662</v>
      </c>
      <c r="D577" s="229">
        <v>69.662</v>
      </c>
      <c r="E577" s="229">
        <v>69.662</v>
      </c>
      <c r="F577" s="229"/>
      <c r="G577" s="229"/>
      <c r="H577" s="229"/>
      <c r="I577" s="229"/>
      <c r="J577" s="229"/>
      <c r="K577" s="229"/>
      <c r="L577" s="229"/>
      <c r="M577" s="229"/>
      <c r="N577" s="232"/>
    </row>
    <row r="578" hidden="1" spans="1:14">
      <c r="A578" s="235"/>
      <c r="B578" s="230" t="s">
        <v>1046</v>
      </c>
      <c r="C578" s="229">
        <v>4.7112</v>
      </c>
      <c r="D578" s="229">
        <v>4.7112</v>
      </c>
      <c r="E578" s="229">
        <v>4.7112</v>
      </c>
      <c r="F578" s="229"/>
      <c r="G578" s="229"/>
      <c r="H578" s="229"/>
      <c r="I578" s="229"/>
      <c r="J578" s="229"/>
      <c r="K578" s="229"/>
      <c r="L578" s="229"/>
      <c r="M578" s="229"/>
      <c r="N578" s="232"/>
    </row>
    <row r="579" hidden="1" spans="1:14">
      <c r="A579" s="235"/>
      <c r="B579" s="230" t="s">
        <v>1035</v>
      </c>
      <c r="C579" s="229">
        <v>3.46</v>
      </c>
      <c r="D579" s="229">
        <v>3.46</v>
      </c>
      <c r="E579" s="229">
        <v>3.46</v>
      </c>
      <c r="F579" s="229"/>
      <c r="G579" s="229"/>
      <c r="H579" s="229"/>
      <c r="I579" s="229"/>
      <c r="J579" s="229"/>
      <c r="K579" s="229"/>
      <c r="L579" s="229"/>
      <c r="M579" s="229"/>
      <c r="N579" s="232"/>
    </row>
    <row r="580" hidden="1" spans="1:14">
      <c r="A580" s="235"/>
      <c r="B580" s="230" t="s">
        <v>1037</v>
      </c>
      <c r="C580" s="229">
        <v>2.70765</v>
      </c>
      <c r="D580" s="229">
        <v>2.70765</v>
      </c>
      <c r="E580" s="229">
        <v>2.70765</v>
      </c>
      <c r="F580" s="229"/>
      <c r="G580" s="229"/>
      <c r="H580" s="229"/>
      <c r="I580" s="229"/>
      <c r="J580" s="229"/>
      <c r="K580" s="229"/>
      <c r="L580" s="229"/>
      <c r="M580" s="229"/>
      <c r="N580" s="232"/>
    </row>
    <row r="581" hidden="1" spans="1:14">
      <c r="A581" s="235"/>
      <c r="B581" s="230" t="s">
        <v>1038</v>
      </c>
      <c r="C581" s="229">
        <v>0.89</v>
      </c>
      <c r="D581" s="229">
        <v>0.89</v>
      </c>
      <c r="E581" s="229">
        <v>0.89</v>
      </c>
      <c r="F581" s="229"/>
      <c r="G581" s="229"/>
      <c r="H581" s="229"/>
      <c r="I581" s="229"/>
      <c r="J581" s="229"/>
      <c r="K581" s="229"/>
      <c r="L581" s="229"/>
      <c r="M581" s="229"/>
      <c r="N581" s="232"/>
    </row>
    <row r="582" spans="1:14">
      <c r="A582" s="227" t="s">
        <v>1058</v>
      </c>
      <c r="B582" s="231" t="s">
        <v>672</v>
      </c>
      <c r="C582" s="229">
        <v>666.769533</v>
      </c>
      <c r="D582" s="229">
        <v>666.769533</v>
      </c>
      <c r="E582" s="229">
        <v>666.769533</v>
      </c>
      <c r="F582" s="229"/>
      <c r="G582" s="229"/>
      <c r="H582" s="229"/>
      <c r="I582" s="229"/>
      <c r="J582" s="229"/>
      <c r="K582" s="229"/>
      <c r="L582" s="229"/>
      <c r="M582" s="229"/>
      <c r="N582" s="233" t="s">
        <v>578</v>
      </c>
    </row>
    <row r="583" hidden="1" spans="1:14">
      <c r="A583" s="235"/>
      <c r="B583" s="230" t="s">
        <v>1031</v>
      </c>
      <c r="C583" s="229">
        <v>1.32</v>
      </c>
      <c r="D583" s="229">
        <v>1.32</v>
      </c>
      <c r="E583" s="229">
        <v>1.32</v>
      </c>
      <c r="F583" s="229"/>
      <c r="G583" s="229"/>
      <c r="H583" s="229"/>
      <c r="I583" s="229"/>
      <c r="J583" s="229"/>
      <c r="K583" s="229"/>
      <c r="L583" s="229"/>
      <c r="M583" s="229"/>
      <c r="N583" s="232"/>
    </row>
    <row r="584" hidden="1" spans="1:14">
      <c r="A584" s="235"/>
      <c r="B584" s="230" t="s">
        <v>1029</v>
      </c>
      <c r="C584" s="229">
        <v>27.54</v>
      </c>
      <c r="D584" s="229">
        <v>27.54</v>
      </c>
      <c r="E584" s="229">
        <v>27.54</v>
      </c>
      <c r="F584" s="229"/>
      <c r="G584" s="229"/>
      <c r="H584" s="229"/>
      <c r="I584" s="229"/>
      <c r="J584" s="229"/>
      <c r="K584" s="229"/>
      <c r="L584" s="229"/>
      <c r="M584" s="229"/>
      <c r="N584" s="232"/>
    </row>
    <row r="585" hidden="1" spans="1:14">
      <c r="A585" s="235"/>
      <c r="B585" s="230" t="s">
        <v>1037</v>
      </c>
      <c r="C585" s="229">
        <v>1.1025</v>
      </c>
      <c r="D585" s="229">
        <v>1.1025</v>
      </c>
      <c r="E585" s="229">
        <v>1.1025</v>
      </c>
      <c r="F585" s="229"/>
      <c r="G585" s="229"/>
      <c r="H585" s="229"/>
      <c r="I585" s="229"/>
      <c r="J585" s="229"/>
      <c r="K585" s="229"/>
      <c r="L585" s="229"/>
      <c r="M585" s="229"/>
      <c r="N585" s="232"/>
    </row>
    <row r="586" hidden="1" spans="1:14">
      <c r="A586" s="235"/>
      <c r="B586" s="230" t="s">
        <v>1034</v>
      </c>
      <c r="C586" s="229">
        <v>1.014</v>
      </c>
      <c r="D586" s="229">
        <v>1.014</v>
      </c>
      <c r="E586" s="229">
        <v>1.014</v>
      </c>
      <c r="F586" s="229"/>
      <c r="G586" s="229"/>
      <c r="H586" s="229"/>
      <c r="I586" s="229"/>
      <c r="J586" s="229"/>
      <c r="K586" s="229"/>
      <c r="L586" s="229"/>
      <c r="M586" s="229"/>
      <c r="N586" s="232"/>
    </row>
    <row r="587" hidden="1" spans="1:14">
      <c r="A587" s="235"/>
      <c r="B587" s="230" t="s">
        <v>1027</v>
      </c>
      <c r="C587" s="229">
        <v>6</v>
      </c>
      <c r="D587" s="229">
        <v>6</v>
      </c>
      <c r="E587" s="229">
        <v>6</v>
      </c>
      <c r="F587" s="229"/>
      <c r="G587" s="229"/>
      <c r="H587" s="229"/>
      <c r="I587" s="229"/>
      <c r="J587" s="229"/>
      <c r="K587" s="229"/>
      <c r="L587" s="229"/>
      <c r="M587" s="229"/>
      <c r="N587" s="232"/>
    </row>
    <row r="588" hidden="1" spans="1:14">
      <c r="A588" s="235"/>
      <c r="B588" s="230" t="s">
        <v>1032</v>
      </c>
      <c r="C588" s="229">
        <v>407.014784</v>
      </c>
      <c r="D588" s="229">
        <v>407.014784</v>
      </c>
      <c r="E588" s="229">
        <v>407.014784</v>
      </c>
      <c r="F588" s="229"/>
      <c r="G588" s="229"/>
      <c r="H588" s="229"/>
      <c r="I588" s="229"/>
      <c r="J588" s="229"/>
      <c r="K588" s="229"/>
      <c r="L588" s="229"/>
      <c r="M588" s="229"/>
      <c r="N588" s="232"/>
    </row>
    <row r="589" hidden="1" spans="1:14">
      <c r="A589" s="235"/>
      <c r="B589" s="230" t="s">
        <v>1038</v>
      </c>
      <c r="C589" s="229">
        <v>0.24</v>
      </c>
      <c r="D589" s="229">
        <v>0.24</v>
      </c>
      <c r="E589" s="229">
        <v>0.24</v>
      </c>
      <c r="F589" s="229"/>
      <c r="G589" s="229"/>
      <c r="H589" s="229"/>
      <c r="I589" s="229"/>
      <c r="J589" s="229"/>
      <c r="K589" s="229"/>
      <c r="L589" s="229"/>
      <c r="M589" s="229"/>
      <c r="N589" s="232"/>
    </row>
    <row r="590" hidden="1" spans="1:14">
      <c r="A590" s="235"/>
      <c r="B590" s="230" t="s">
        <v>1039</v>
      </c>
      <c r="C590" s="229">
        <v>8.140296</v>
      </c>
      <c r="D590" s="229">
        <v>8.140296</v>
      </c>
      <c r="E590" s="229">
        <v>8.140296</v>
      </c>
      <c r="F590" s="229"/>
      <c r="G590" s="229"/>
      <c r="H590" s="229"/>
      <c r="I590" s="229"/>
      <c r="J590" s="229"/>
      <c r="K590" s="229"/>
      <c r="L590" s="229"/>
      <c r="M590" s="229"/>
      <c r="N590" s="232"/>
    </row>
    <row r="591" hidden="1" spans="1:14">
      <c r="A591" s="235"/>
      <c r="B591" s="230" t="s">
        <v>1028</v>
      </c>
      <c r="C591" s="229">
        <v>44.1</v>
      </c>
      <c r="D591" s="229">
        <v>44.1</v>
      </c>
      <c r="E591" s="229">
        <v>44.1</v>
      </c>
      <c r="F591" s="229"/>
      <c r="G591" s="229"/>
      <c r="H591" s="229"/>
      <c r="I591" s="229"/>
      <c r="J591" s="229"/>
      <c r="K591" s="229"/>
      <c r="L591" s="229"/>
      <c r="M591" s="229"/>
      <c r="N591" s="232"/>
    </row>
    <row r="592" hidden="1" spans="1:14">
      <c r="A592" s="235"/>
      <c r="B592" s="230" t="s">
        <v>1035</v>
      </c>
      <c r="C592" s="229">
        <v>1.5</v>
      </c>
      <c r="D592" s="229">
        <v>1.5</v>
      </c>
      <c r="E592" s="229">
        <v>1.5</v>
      </c>
      <c r="F592" s="229"/>
      <c r="G592" s="229"/>
      <c r="H592" s="229"/>
      <c r="I592" s="229"/>
      <c r="J592" s="229"/>
      <c r="K592" s="229"/>
      <c r="L592" s="229"/>
      <c r="M592" s="229"/>
      <c r="N592" s="232"/>
    </row>
    <row r="593" hidden="1" spans="1:14">
      <c r="A593" s="235"/>
      <c r="B593" s="230" t="s">
        <v>1033</v>
      </c>
      <c r="C593" s="229">
        <v>119.956179</v>
      </c>
      <c r="D593" s="229">
        <v>119.956179</v>
      </c>
      <c r="E593" s="229">
        <v>119.956179</v>
      </c>
      <c r="F593" s="229"/>
      <c r="G593" s="229"/>
      <c r="H593" s="229"/>
      <c r="I593" s="229"/>
      <c r="J593" s="229"/>
      <c r="K593" s="229"/>
      <c r="L593" s="229"/>
      <c r="M593" s="229"/>
      <c r="N593" s="232"/>
    </row>
    <row r="594" hidden="1" spans="1:14">
      <c r="A594" s="235"/>
      <c r="B594" s="230" t="s">
        <v>1036</v>
      </c>
      <c r="C594" s="229">
        <v>48.841774</v>
      </c>
      <c r="D594" s="229">
        <v>48.841774</v>
      </c>
      <c r="E594" s="229">
        <v>48.841774</v>
      </c>
      <c r="F594" s="229"/>
      <c r="G594" s="229"/>
      <c r="H594" s="229"/>
      <c r="I594" s="229"/>
      <c r="J594" s="229"/>
      <c r="K594" s="229"/>
      <c r="L594" s="229"/>
      <c r="M594" s="229"/>
      <c r="N594" s="232"/>
    </row>
    <row r="595" spans="1:14">
      <c r="A595" s="227" t="s">
        <v>1059</v>
      </c>
      <c r="B595" s="231" t="s">
        <v>673</v>
      </c>
      <c r="C595" s="229">
        <v>763.481327</v>
      </c>
      <c r="D595" s="229">
        <v>763.481327</v>
      </c>
      <c r="E595" s="229">
        <v>763.481327</v>
      </c>
      <c r="F595" s="229"/>
      <c r="G595" s="229"/>
      <c r="H595" s="229"/>
      <c r="I595" s="229"/>
      <c r="J595" s="229"/>
      <c r="K595" s="229"/>
      <c r="L595" s="229"/>
      <c r="M595" s="229"/>
      <c r="N595" s="233" t="s">
        <v>578</v>
      </c>
    </row>
    <row r="596" hidden="1" spans="1:14">
      <c r="A596" s="235"/>
      <c r="B596" s="230" t="s">
        <v>1032</v>
      </c>
      <c r="C596" s="229">
        <v>436.622488</v>
      </c>
      <c r="D596" s="229">
        <v>436.622488</v>
      </c>
      <c r="E596" s="229">
        <v>436.622488</v>
      </c>
      <c r="F596" s="229"/>
      <c r="G596" s="229"/>
      <c r="H596" s="229"/>
      <c r="I596" s="229"/>
      <c r="J596" s="229"/>
      <c r="K596" s="229"/>
      <c r="L596" s="229"/>
      <c r="M596" s="229"/>
      <c r="N596" s="232"/>
    </row>
    <row r="597" hidden="1" spans="1:14">
      <c r="A597" s="235"/>
      <c r="B597" s="230" t="s">
        <v>1033</v>
      </c>
      <c r="C597" s="229">
        <v>133.30934</v>
      </c>
      <c r="D597" s="229">
        <v>133.30934</v>
      </c>
      <c r="E597" s="229">
        <v>133.30934</v>
      </c>
      <c r="F597" s="229"/>
      <c r="G597" s="229"/>
      <c r="H597" s="229"/>
      <c r="I597" s="229"/>
      <c r="J597" s="229"/>
      <c r="K597" s="229"/>
      <c r="L597" s="229"/>
      <c r="M597" s="229"/>
      <c r="N597" s="232"/>
    </row>
    <row r="598" hidden="1" spans="1:14">
      <c r="A598" s="235"/>
      <c r="B598" s="230" t="s">
        <v>1039</v>
      </c>
      <c r="C598" s="229">
        <v>8.73245</v>
      </c>
      <c r="D598" s="229">
        <v>8.73245</v>
      </c>
      <c r="E598" s="229">
        <v>8.73245</v>
      </c>
      <c r="F598" s="229"/>
      <c r="G598" s="229"/>
      <c r="H598" s="229"/>
      <c r="I598" s="229"/>
      <c r="J598" s="229"/>
      <c r="K598" s="229"/>
      <c r="L598" s="229"/>
      <c r="M598" s="229"/>
      <c r="N598" s="232"/>
    </row>
    <row r="599" hidden="1" spans="1:14">
      <c r="A599" s="235"/>
      <c r="B599" s="230" t="s">
        <v>1035</v>
      </c>
      <c r="C599" s="229">
        <v>2.5</v>
      </c>
      <c r="D599" s="229">
        <v>2.5</v>
      </c>
      <c r="E599" s="229">
        <v>2.5</v>
      </c>
      <c r="F599" s="229"/>
      <c r="G599" s="229"/>
      <c r="H599" s="229"/>
      <c r="I599" s="229"/>
      <c r="J599" s="229"/>
      <c r="K599" s="229"/>
      <c r="L599" s="229"/>
      <c r="M599" s="229"/>
      <c r="N599" s="232"/>
    </row>
    <row r="600" hidden="1" spans="1:14">
      <c r="A600" s="235"/>
      <c r="B600" s="230" t="s">
        <v>1029</v>
      </c>
      <c r="C600" s="229">
        <v>29.97</v>
      </c>
      <c r="D600" s="229">
        <v>29.97</v>
      </c>
      <c r="E600" s="229">
        <v>29.97</v>
      </c>
      <c r="F600" s="229"/>
      <c r="G600" s="229"/>
      <c r="H600" s="229"/>
      <c r="I600" s="229"/>
      <c r="J600" s="229"/>
      <c r="K600" s="229"/>
      <c r="L600" s="229"/>
      <c r="M600" s="229"/>
      <c r="N600" s="232"/>
    </row>
    <row r="601" hidden="1" spans="1:14">
      <c r="A601" s="235"/>
      <c r="B601" s="230" t="s">
        <v>1028</v>
      </c>
      <c r="C601" s="229">
        <v>71.118</v>
      </c>
      <c r="D601" s="229">
        <v>71.118</v>
      </c>
      <c r="E601" s="229">
        <v>71.118</v>
      </c>
      <c r="F601" s="229"/>
      <c r="G601" s="229"/>
      <c r="H601" s="229"/>
      <c r="I601" s="229"/>
      <c r="J601" s="229"/>
      <c r="K601" s="229"/>
      <c r="L601" s="229"/>
      <c r="M601" s="229"/>
      <c r="N601" s="232"/>
    </row>
    <row r="602" hidden="1" spans="1:14">
      <c r="A602" s="235"/>
      <c r="B602" s="230" t="s">
        <v>1031</v>
      </c>
      <c r="C602" s="229">
        <v>19.08</v>
      </c>
      <c r="D602" s="229">
        <v>19.08</v>
      </c>
      <c r="E602" s="229">
        <v>19.08</v>
      </c>
      <c r="F602" s="229"/>
      <c r="G602" s="229"/>
      <c r="H602" s="229"/>
      <c r="I602" s="229"/>
      <c r="J602" s="229"/>
      <c r="K602" s="229"/>
      <c r="L602" s="229"/>
      <c r="M602" s="229"/>
      <c r="N602" s="232"/>
    </row>
    <row r="603" hidden="1" spans="1:14">
      <c r="A603" s="235"/>
      <c r="B603" s="230" t="s">
        <v>1027</v>
      </c>
      <c r="C603" s="229">
        <v>6</v>
      </c>
      <c r="D603" s="229">
        <v>6</v>
      </c>
      <c r="E603" s="229">
        <v>6</v>
      </c>
      <c r="F603" s="229"/>
      <c r="G603" s="229"/>
      <c r="H603" s="229"/>
      <c r="I603" s="229"/>
      <c r="J603" s="229"/>
      <c r="K603" s="229"/>
      <c r="L603" s="229"/>
      <c r="M603" s="229"/>
      <c r="N603" s="232"/>
    </row>
    <row r="604" hidden="1" spans="1:14">
      <c r="A604" s="235"/>
      <c r="B604" s="230" t="s">
        <v>1034</v>
      </c>
      <c r="C604" s="229">
        <v>1.014</v>
      </c>
      <c r="D604" s="229">
        <v>1.014</v>
      </c>
      <c r="E604" s="229">
        <v>1.014</v>
      </c>
      <c r="F604" s="229"/>
      <c r="G604" s="229"/>
      <c r="H604" s="229"/>
      <c r="I604" s="229"/>
      <c r="J604" s="229"/>
      <c r="K604" s="229"/>
      <c r="L604" s="229"/>
      <c r="M604" s="229"/>
      <c r="N604" s="232"/>
    </row>
    <row r="605" hidden="1" spans="1:14">
      <c r="A605" s="235"/>
      <c r="B605" s="230" t="s">
        <v>1036</v>
      </c>
      <c r="C605" s="229">
        <v>52.394699</v>
      </c>
      <c r="D605" s="229">
        <v>52.394699</v>
      </c>
      <c r="E605" s="229">
        <v>52.394699</v>
      </c>
      <c r="F605" s="229"/>
      <c r="G605" s="229"/>
      <c r="H605" s="229"/>
      <c r="I605" s="229"/>
      <c r="J605" s="229"/>
      <c r="K605" s="229"/>
      <c r="L605" s="229"/>
      <c r="M605" s="229"/>
      <c r="N605" s="232"/>
    </row>
    <row r="606" hidden="1" spans="1:14">
      <c r="A606" s="235"/>
      <c r="B606" s="230" t="s">
        <v>1038</v>
      </c>
      <c r="C606" s="229">
        <v>0.36</v>
      </c>
      <c r="D606" s="229">
        <v>0.36</v>
      </c>
      <c r="E606" s="229">
        <v>0.36</v>
      </c>
      <c r="F606" s="229"/>
      <c r="G606" s="229"/>
      <c r="H606" s="229"/>
      <c r="I606" s="229"/>
      <c r="J606" s="229"/>
      <c r="K606" s="229"/>
      <c r="L606" s="229"/>
      <c r="M606" s="229"/>
      <c r="N606" s="232"/>
    </row>
    <row r="607" hidden="1" spans="1:14">
      <c r="A607" s="235"/>
      <c r="B607" s="230" t="s">
        <v>1037</v>
      </c>
      <c r="C607" s="229">
        <v>2.38035</v>
      </c>
      <c r="D607" s="229">
        <v>2.38035</v>
      </c>
      <c r="E607" s="229">
        <v>2.38035</v>
      </c>
      <c r="F607" s="229"/>
      <c r="G607" s="229"/>
      <c r="H607" s="229"/>
      <c r="I607" s="229"/>
      <c r="J607" s="229"/>
      <c r="K607" s="229"/>
      <c r="L607" s="229"/>
      <c r="M607" s="229"/>
      <c r="N607" s="232"/>
    </row>
    <row r="608" spans="1:14">
      <c r="A608" s="227" t="s">
        <v>1060</v>
      </c>
      <c r="B608" s="231" t="s">
        <v>674</v>
      </c>
      <c r="C608" s="229">
        <v>307.087091</v>
      </c>
      <c r="D608" s="229">
        <v>307.087091</v>
      </c>
      <c r="E608" s="229">
        <v>307.087091</v>
      </c>
      <c r="F608" s="229"/>
      <c r="G608" s="229"/>
      <c r="H608" s="229"/>
      <c r="I608" s="229"/>
      <c r="J608" s="229"/>
      <c r="K608" s="229"/>
      <c r="L608" s="229"/>
      <c r="M608" s="229"/>
      <c r="N608" s="233" t="s">
        <v>578</v>
      </c>
    </row>
    <row r="609" hidden="1" spans="1:14">
      <c r="A609" s="235"/>
      <c r="B609" s="230" t="s">
        <v>1029</v>
      </c>
      <c r="C609" s="229">
        <v>12.96</v>
      </c>
      <c r="D609" s="229">
        <v>12.96</v>
      </c>
      <c r="E609" s="229">
        <v>12.96</v>
      </c>
      <c r="F609" s="229"/>
      <c r="G609" s="229"/>
      <c r="H609" s="229"/>
      <c r="I609" s="229"/>
      <c r="J609" s="229"/>
      <c r="K609" s="229"/>
      <c r="L609" s="229"/>
      <c r="M609" s="229"/>
      <c r="N609" s="232"/>
    </row>
    <row r="610" hidden="1" spans="1:14">
      <c r="A610" s="235"/>
      <c r="B610" s="230" t="s">
        <v>1037</v>
      </c>
      <c r="C610" s="229">
        <v>0.0735</v>
      </c>
      <c r="D610" s="229">
        <v>0.0735</v>
      </c>
      <c r="E610" s="229">
        <v>0.0735</v>
      </c>
      <c r="F610" s="229"/>
      <c r="G610" s="229"/>
      <c r="H610" s="229"/>
      <c r="I610" s="229"/>
      <c r="J610" s="229"/>
      <c r="K610" s="229"/>
      <c r="L610" s="229"/>
      <c r="M610" s="229"/>
      <c r="N610" s="232"/>
    </row>
    <row r="611" hidden="1" spans="1:14">
      <c r="A611" s="235"/>
      <c r="B611" s="230" t="s">
        <v>1028</v>
      </c>
      <c r="C611" s="229">
        <v>2.94</v>
      </c>
      <c r="D611" s="229">
        <v>2.94</v>
      </c>
      <c r="E611" s="229">
        <v>2.94</v>
      </c>
      <c r="F611" s="229"/>
      <c r="G611" s="229"/>
      <c r="H611" s="229"/>
      <c r="I611" s="229"/>
      <c r="J611" s="229"/>
      <c r="K611" s="229"/>
      <c r="L611" s="229"/>
      <c r="M611" s="229"/>
      <c r="N611" s="232"/>
    </row>
    <row r="612" hidden="1" spans="1:14">
      <c r="A612" s="235"/>
      <c r="B612" s="230" t="s">
        <v>1036</v>
      </c>
      <c r="C612" s="229">
        <v>23.976816</v>
      </c>
      <c r="D612" s="229">
        <v>23.976816</v>
      </c>
      <c r="E612" s="229">
        <v>23.976816</v>
      </c>
      <c r="F612" s="229"/>
      <c r="G612" s="229"/>
      <c r="H612" s="229"/>
      <c r="I612" s="229"/>
      <c r="J612" s="229"/>
      <c r="K612" s="229"/>
      <c r="L612" s="229"/>
      <c r="M612" s="229"/>
      <c r="N612" s="232"/>
    </row>
    <row r="613" hidden="1" spans="1:14">
      <c r="A613" s="235"/>
      <c r="B613" s="230" t="s">
        <v>1039</v>
      </c>
      <c r="C613" s="229">
        <v>3.996136</v>
      </c>
      <c r="D613" s="229">
        <v>3.996136</v>
      </c>
      <c r="E613" s="229">
        <v>3.996136</v>
      </c>
      <c r="F613" s="229"/>
      <c r="G613" s="229"/>
      <c r="H613" s="229"/>
      <c r="I613" s="229"/>
      <c r="J613" s="229"/>
      <c r="K613" s="229"/>
      <c r="L613" s="229"/>
      <c r="M613" s="229"/>
      <c r="N613" s="232"/>
    </row>
    <row r="614" hidden="1" spans="1:14">
      <c r="A614" s="235"/>
      <c r="B614" s="230" t="s">
        <v>1027</v>
      </c>
      <c r="C614" s="229">
        <v>6</v>
      </c>
      <c r="D614" s="229">
        <v>6</v>
      </c>
      <c r="E614" s="229">
        <v>6</v>
      </c>
      <c r="F614" s="229"/>
      <c r="G614" s="229"/>
      <c r="H614" s="229"/>
      <c r="I614" s="229"/>
      <c r="J614" s="229"/>
      <c r="K614" s="229"/>
      <c r="L614" s="229"/>
      <c r="M614" s="229"/>
      <c r="N614" s="232"/>
    </row>
    <row r="615" hidden="1" spans="1:14">
      <c r="A615" s="235"/>
      <c r="B615" s="230" t="s">
        <v>1032</v>
      </c>
      <c r="C615" s="229">
        <v>199.8068</v>
      </c>
      <c r="D615" s="229">
        <v>199.8068</v>
      </c>
      <c r="E615" s="229">
        <v>199.8068</v>
      </c>
      <c r="F615" s="229"/>
      <c r="G615" s="229"/>
      <c r="H615" s="229"/>
      <c r="I615" s="229"/>
      <c r="J615" s="229"/>
      <c r="K615" s="229"/>
      <c r="L615" s="229"/>
      <c r="M615" s="229"/>
      <c r="N615" s="232"/>
    </row>
    <row r="616" hidden="1" spans="1:14">
      <c r="A616" s="235"/>
      <c r="B616" s="230" t="s">
        <v>1035</v>
      </c>
      <c r="C616" s="229">
        <v>0.1</v>
      </c>
      <c r="D616" s="229">
        <v>0.1</v>
      </c>
      <c r="E616" s="229">
        <v>0.1</v>
      </c>
      <c r="F616" s="229"/>
      <c r="G616" s="229"/>
      <c r="H616" s="229"/>
      <c r="I616" s="229"/>
      <c r="J616" s="229"/>
      <c r="K616" s="229"/>
      <c r="L616" s="229"/>
      <c r="M616" s="229"/>
      <c r="N616" s="232"/>
    </row>
    <row r="617" hidden="1" spans="1:14">
      <c r="A617" s="235"/>
      <c r="B617" s="230" t="s">
        <v>1033</v>
      </c>
      <c r="C617" s="229">
        <v>55.253839</v>
      </c>
      <c r="D617" s="229">
        <v>55.253839</v>
      </c>
      <c r="E617" s="229">
        <v>55.253839</v>
      </c>
      <c r="F617" s="229"/>
      <c r="G617" s="229"/>
      <c r="H617" s="229"/>
      <c r="I617" s="229"/>
      <c r="J617" s="229"/>
      <c r="K617" s="229"/>
      <c r="L617" s="229"/>
      <c r="M617" s="229"/>
      <c r="N617" s="232"/>
    </row>
    <row r="618" hidden="1" spans="1:14">
      <c r="A618" s="235"/>
      <c r="B618" s="230" t="s">
        <v>1031</v>
      </c>
      <c r="C618" s="229">
        <v>1.98</v>
      </c>
      <c r="D618" s="229">
        <v>1.98</v>
      </c>
      <c r="E618" s="229">
        <v>1.98</v>
      </c>
      <c r="F618" s="229"/>
      <c r="G618" s="229"/>
      <c r="H618" s="229"/>
      <c r="I618" s="229"/>
      <c r="J618" s="229"/>
      <c r="K618" s="229"/>
      <c r="L618" s="229"/>
      <c r="M618" s="229"/>
      <c r="N618" s="232"/>
    </row>
    <row r="619" spans="1:14">
      <c r="A619" s="227" t="s">
        <v>1061</v>
      </c>
      <c r="B619" s="231" t="s">
        <v>675</v>
      </c>
      <c r="C619" s="229">
        <v>1416.280606</v>
      </c>
      <c r="D619" s="229">
        <v>1416.280606</v>
      </c>
      <c r="E619" s="229">
        <v>1416.280606</v>
      </c>
      <c r="F619" s="229"/>
      <c r="G619" s="229"/>
      <c r="H619" s="229"/>
      <c r="I619" s="229"/>
      <c r="J619" s="229"/>
      <c r="K619" s="229"/>
      <c r="L619" s="229"/>
      <c r="M619" s="229"/>
      <c r="N619" s="233" t="s">
        <v>578</v>
      </c>
    </row>
    <row r="620" hidden="1" spans="1:14">
      <c r="A620" s="235"/>
      <c r="B620" s="230" t="s">
        <v>1037</v>
      </c>
      <c r="C620" s="229">
        <v>5.48001</v>
      </c>
      <c r="D620" s="229">
        <v>5.48001</v>
      </c>
      <c r="E620" s="229">
        <v>5.48001</v>
      </c>
      <c r="F620" s="229"/>
      <c r="G620" s="229"/>
      <c r="H620" s="229"/>
      <c r="I620" s="229"/>
      <c r="J620" s="229"/>
      <c r="K620" s="229"/>
      <c r="L620" s="229"/>
      <c r="M620" s="229"/>
      <c r="N620" s="232"/>
    </row>
    <row r="621" hidden="1" spans="1:14">
      <c r="A621" s="235"/>
      <c r="B621" s="230" t="s">
        <v>1034</v>
      </c>
      <c r="C621" s="229">
        <v>1.1154</v>
      </c>
      <c r="D621" s="229">
        <v>1.1154</v>
      </c>
      <c r="E621" s="229">
        <v>1.1154</v>
      </c>
      <c r="F621" s="229"/>
      <c r="G621" s="229"/>
      <c r="H621" s="229"/>
      <c r="I621" s="229"/>
      <c r="J621" s="229"/>
      <c r="K621" s="229"/>
      <c r="L621" s="229"/>
      <c r="M621" s="229"/>
      <c r="N621" s="232"/>
    </row>
    <row r="622" hidden="1" spans="1:14">
      <c r="A622" s="235"/>
      <c r="B622" s="230" t="s">
        <v>1028</v>
      </c>
      <c r="C622" s="229">
        <v>193.2804</v>
      </c>
      <c r="D622" s="229">
        <v>193.2804</v>
      </c>
      <c r="E622" s="229">
        <v>193.2804</v>
      </c>
      <c r="F622" s="229"/>
      <c r="G622" s="229"/>
      <c r="H622" s="229"/>
      <c r="I622" s="229"/>
      <c r="J622" s="229"/>
      <c r="K622" s="229"/>
      <c r="L622" s="229"/>
      <c r="M622" s="229"/>
      <c r="N622" s="232"/>
    </row>
    <row r="623" hidden="1" spans="1:14">
      <c r="A623" s="235"/>
      <c r="B623" s="230" t="s">
        <v>1036</v>
      </c>
      <c r="C623" s="229">
        <v>91.162332</v>
      </c>
      <c r="D623" s="229">
        <v>91.162332</v>
      </c>
      <c r="E623" s="229">
        <v>91.162332</v>
      </c>
      <c r="F623" s="229"/>
      <c r="G623" s="229"/>
      <c r="H623" s="229"/>
      <c r="I623" s="229"/>
      <c r="J623" s="229"/>
      <c r="K623" s="229"/>
      <c r="L623" s="229"/>
      <c r="M623" s="229"/>
      <c r="N623" s="232"/>
    </row>
    <row r="624" hidden="1" spans="1:14">
      <c r="A624" s="235"/>
      <c r="B624" s="230" t="s">
        <v>1029</v>
      </c>
      <c r="C624" s="229">
        <v>70.76</v>
      </c>
      <c r="D624" s="229">
        <v>70.76</v>
      </c>
      <c r="E624" s="229">
        <v>70.76</v>
      </c>
      <c r="F624" s="229"/>
      <c r="G624" s="229"/>
      <c r="H624" s="229"/>
      <c r="I624" s="229"/>
      <c r="J624" s="229"/>
      <c r="K624" s="229"/>
      <c r="L624" s="229"/>
      <c r="M624" s="229"/>
      <c r="N624" s="232"/>
    </row>
    <row r="625" hidden="1" spans="1:14">
      <c r="A625" s="235"/>
      <c r="B625" s="230" t="s">
        <v>1030</v>
      </c>
      <c r="C625" s="229">
        <v>4</v>
      </c>
      <c r="D625" s="229">
        <v>4</v>
      </c>
      <c r="E625" s="229">
        <v>4</v>
      </c>
      <c r="F625" s="229"/>
      <c r="G625" s="229"/>
      <c r="H625" s="229"/>
      <c r="I625" s="229"/>
      <c r="J625" s="229"/>
      <c r="K625" s="229"/>
      <c r="L625" s="229"/>
      <c r="M625" s="229"/>
      <c r="N625" s="232"/>
    </row>
    <row r="626" hidden="1" spans="1:14">
      <c r="A626" s="235"/>
      <c r="B626" s="230" t="s">
        <v>1035</v>
      </c>
      <c r="C626" s="229">
        <v>6.28</v>
      </c>
      <c r="D626" s="229">
        <v>6.28</v>
      </c>
      <c r="E626" s="229">
        <v>6.28</v>
      </c>
      <c r="F626" s="229"/>
      <c r="G626" s="229"/>
      <c r="H626" s="229"/>
      <c r="I626" s="229"/>
      <c r="J626" s="229"/>
      <c r="K626" s="229"/>
      <c r="L626" s="229"/>
      <c r="M626" s="229"/>
      <c r="N626" s="232"/>
    </row>
    <row r="627" hidden="1" spans="1:14">
      <c r="A627" s="235"/>
      <c r="B627" s="230" t="s">
        <v>1038</v>
      </c>
      <c r="C627" s="229">
        <v>1.3</v>
      </c>
      <c r="D627" s="229">
        <v>1.3</v>
      </c>
      <c r="E627" s="229">
        <v>1.3</v>
      </c>
      <c r="F627" s="229"/>
      <c r="G627" s="229"/>
      <c r="H627" s="229"/>
      <c r="I627" s="229"/>
      <c r="J627" s="229"/>
      <c r="K627" s="229"/>
      <c r="L627" s="229"/>
      <c r="M627" s="229"/>
      <c r="N627" s="232"/>
    </row>
    <row r="628" hidden="1" spans="1:14">
      <c r="A628" s="235"/>
      <c r="B628" s="230" t="s">
        <v>1039</v>
      </c>
      <c r="C628" s="229">
        <v>15.193722</v>
      </c>
      <c r="D628" s="229">
        <v>15.193722</v>
      </c>
      <c r="E628" s="229">
        <v>15.193722</v>
      </c>
      <c r="F628" s="229"/>
      <c r="G628" s="229"/>
      <c r="H628" s="229"/>
      <c r="I628" s="229"/>
      <c r="J628" s="229"/>
      <c r="K628" s="229"/>
      <c r="L628" s="229"/>
      <c r="M628" s="229"/>
      <c r="N628" s="232"/>
    </row>
    <row r="629" hidden="1" spans="1:14">
      <c r="A629" s="235"/>
      <c r="B629" s="230" t="s">
        <v>1033</v>
      </c>
      <c r="C629" s="229">
        <v>244.134642</v>
      </c>
      <c r="D629" s="229">
        <v>244.134642</v>
      </c>
      <c r="E629" s="229">
        <v>244.134642</v>
      </c>
      <c r="F629" s="229"/>
      <c r="G629" s="229"/>
      <c r="H629" s="229"/>
      <c r="I629" s="229"/>
      <c r="J629" s="229"/>
      <c r="K629" s="229"/>
      <c r="L629" s="229"/>
      <c r="M629" s="229"/>
      <c r="N629" s="232"/>
    </row>
    <row r="630" hidden="1" spans="1:14">
      <c r="A630" s="235"/>
      <c r="B630" s="230" t="s">
        <v>1027</v>
      </c>
      <c r="C630" s="229">
        <v>8</v>
      </c>
      <c r="D630" s="229">
        <v>8</v>
      </c>
      <c r="E630" s="229">
        <v>8</v>
      </c>
      <c r="F630" s="229"/>
      <c r="G630" s="229"/>
      <c r="H630" s="229"/>
      <c r="I630" s="229"/>
      <c r="J630" s="229"/>
      <c r="K630" s="229"/>
      <c r="L630" s="229"/>
      <c r="M630" s="229"/>
      <c r="N630" s="232"/>
    </row>
    <row r="631" hidden="1" spans="1:14">
      <c r="A631" s="235"/>
      <c r="B631" s="230" t="s">
        <v>1031</v>
      </c>
      <c r="C631" s="229">
        <v>15.888</v>
      </c>
      <c r="D631" s="229">
        <v>15.888</v>
      </c>
      <c r="E631" s="229">
        <v>15.888</v>
      </c>
      <c r="F631" s="229"/>
      <c r="G631" s="229"/>
      <c r="H631" s="229"/>
      <c r="I631" s="229"/>
      <c r="J631" s="229"/>
      <c r="K631" s="229"/>
      <c r="L631" s="229"/>
      <c r="M631" s="229"/>
      <c r="N631" s="232"/>
    </row>
    <row r="632" hidden="1" spans="1:14">
      <c r="A632" s="235"/>
      <c r="B632" s="230" t="s">
        <v>1032</v>
      </c>
      <c r="C632" s="229">
        <v>759.6861</v>
      </c>
      <c r="D632" s="229">
        <v>759.6861</v>
      </c>
      <c r="E632" s="229">
        <v>759.6861</v>
      </c>
      <c r="F632" s="229"/>
      <c r="G632" s="229"/>
      <c r="H632" s="229"/>
      <c r="I632" s="229"/>
      <c r="J632" s="229"/>
      <c r="K632" s="229"/>
      <c r="L632" s="229"/>
      <c r="M632" s="229"/>
      <c r="N632" s="232"/>
    </row>
    <row r="633" spans="1:14">
      <c r="A633" s="227" t="s">
        <v>1062</v>
      </c>
      <c r="B633" s="231" t="s">
        <v>676</v>
      </c>
      <c r="C633" s="229">
        <v>737.848585</v>
      </c>
      <c r="D633" s="229">
        <v>737.848585</v>
      </c>
      <c r="E633" s="229">
        <v>737.848585</v>
      </c>
      <c r="F633" s="229"/>
      <c r="G633" s="229"/>
      <c r="H633" s="229"/>
      <c r="I633" s="229"/>
      <c r="J633" s="229"/>
      <c r="K633" s="229"/>
      <c r="L633" s="229"/>
      <c r="M633" s="229"/>
      <c r="N633" s="233" t="s">
        <v>578</v>
      </c>
    </row>
    <row r="634" hidden="1" spans="1:14">
      <c r="A634" s="235"/>
      <c r="B634" s="230" t="s">
        <v>1032</v>
      </c>
      <c r="C634" s="229">
        <v>434.8523</v>
      </c>
      <c r="D634" s="229">
        <v>434.8523</v>
      </c>
      <c r="E634" s="229">
        <v>434.8523</v>
      </c>
      <c r="F634" s="229"/>
      <c r="G634" s="229"/>
      <c r="H634" s="229"/>
      <c r="I634" s="229"/>
      <c r="J634" s="229"/>
      <c r="K634" s="229"/>
      <c r="L634" s="229"/>
      <c r="M634" s="229"/>
      <c r="N634" s="232"/>
    </row>
    <row r="635" hidden="1" spans="1:14">
      <c r="A635" s="235"/>
      <c r="B635" s="230" t="s">
        <v>1034</v>
      </c>
      <c r="C635" s="229">
        <v>1.014</v>
      </c>
      <c r="D635" s="229">
        <v>1.014</v>
      </c>
      <c r="E635" s="229">
        <v>1.014</v>
      </c>
      <c r="F635" s="229"/>
      <c r="G635" s="229"/>
      <c r="H635" s="229"/>
      <c r="I635" s="229"/>
      <c r="J635" s="229"/>
      <c r="K635" s="229"/>
      <c r="L635" s="229"/>
      <c r="M635" s="229"/>
      <c r="N635" s="232"/>
    </row>
    <row r="636" hidden="1" spans="1:14">
      <c r="A636" s="235"/>
      <c r="B636" s="230" t="s">
        <v>1028</v>
      </c>
      <c r="C636" s="229">
        <v>45.0024</v>
      </c>
      <c r="D636" s="229">
        <v>45.0024</v>
      </c>
      <c r="E636" s="229">
        <v>45.0024</v>
      </c>
      <c r="F636" s="229"/>
      <c r="G636" s="229"/>
      <c r="H636" s="229"/>
      <c r="I636" s="229"/>
      <c r="J636" s="229"/>
      <c r="K636" s="229"/>
      <c r="L636" s="229"/>
      <c r="M636" s="229"/>
      <c r="N636" s="232"/>
    </row>
    <row r="637" hidden="1" spans="1:14">
      <c r="A637" s="235"/>
      <c r="B637" s="230" t="s">
        <v>1037</v>
      </c>
      <c r="C637" s="229">
        <v>16.437108</v>
      </c>
      <c r="D637" s="229">
        <v>16.437108</v>
      </c>
      <c r="E637" s="229">
        <v>16.437108</v>
      </c>
      <c r="F637" s="229"/>
      <c r="G637" s="229"/>
      <c r="H637" s="229"/>
      <c r="I637" s="229"/>
      <c r="J637" s="229"/>
      <c r="K637" s="229"/>
      <c r="L637" s="229"/>
      <c r="M637" s="229"/>
      <c r="N637" s="232"/>
    </row>
    <row r="638" hidden="1" spans="1:14">
      <c r="A638" s="235"/>
      <c r="B638" s="230" t="s">
        <v>1030</v>
      </c>
      <c r="C638" s="229">
        <v>8</v>
      </c>
      <c r="D638" s="229">
        <v>8</v>
      </c>
      <c r="E638" s="229">
        <v>8</v>
      </c>
      <c r="F638" s="229"/>
      <c r="G638" s="229"/>
      <c r="H638" s="229"/>
      <c r="I638" s="229"/>
      <c r="J638" s="229"/>
      <c r="K638" s="229"/>
      <c r="L638" s="229"/>
      <c r="M638" s="229"/>
      <c r="N638" s="232"/>
    </row>
    <row r="639" hidden="1" spans="1:14">
      <c r="A639" s="235"/>
      <c r="B639" s="230" t="s">
        <v>1039</v>
      </c>
      <c r="C639" s="229">
        <v>8.697046</v>
      </c>
      <c r="D639" s="229">
        <v>8.697046</v>
      </c>
      <c r="E639" s="229">
        <v>8.697046</v>
      </c>
      <c r="F639" s="229"/>
      <c r="G639" s="229"/>
      <c r="H639" s="229"/>
      <c r="I639" s="229"/>
      <c r="J639" s="229"/>
      <c r="K639" s="229"/>
      <c r="L639" s="229"/>
      <c r="M639" s="229"/>
      <c r="N639" s="232"/>
    </row>
    <row r="640" hidden="1" spans="1:14">
      <c r="A640" s="235"/>
      <c r="B640" s="230" t="s">
        <v>1042</v>
      </c>
      <c r="C640" s="229">
        <v>0.17</v>
      </c>
      <c r="D640" s="229">
        <v>0.17</v>
      </c>
      <c r="E640" s="229">
        <v>0.17</v>
      </c>
      <c r="F640" s="229"/>
      <c r="G640" s="229"/>
      <c r="H640" s="229"/>
      <c r="I640" s="229"/>
      <c r="J640" s="229"/>
      <c r="K640" s="229"/>
      <c r="L640" s="229"/>
      <c r="M640" s="229"/>
      <c r="N640" s="232"/>
    </row>
    <row r="641" hidden="1" spans="1:14">
      <c r="A641" s="235"/>
      <c r="B641" s="230" t="s">
        <v>1027</v>
      </c>
      <c r="C641" s="229">
        <v>6</v>
      </c>
      <c r="D641" s="229">
        <v>6</v>
      </c>
      <c r="E641" s="229">
        <v>6</v>
      </c>
      <c r="F641" s="229"/>
      <c r="G641" s="229"/>
      <c r="H641" s="229"/>
      <c r="I641" s="229"/>
      <c r="J641" s="229"/>
      <c r="K641" s="229"/>
      <c r="L641" s="229"/>
      <c r="M641" s="229"/>
      <c r="N641" s="232"/>
    </row>
    <row r="642" hidden="1" spans="1:14">
      <c r="A642" s="235"/>
      <c r="B642" s="230" t="s">
        <v>1029</v>
      </c>
      <c r="C642" s="229">
        <v>29.97</v>
      </c>
      <c r="D642" s="229">
        <v>29.97</v>
      </c>
      <c r="E642" s="229">
        <v>29.97</v>
      </c>
      <c r="F642" s="229"/>
      <c r="G642" s="229"/>
      <c r="H642" s="229"/>
      <c r="I642" s="229"/>
      <c r="J642" s="229"/>
      <c r="K642" s="229"/>
      <c r="L642" s="229"/>
      <c r="M642" s="229"/>
      <c r="N642" s="232"/>
    </row>
    <row r="643" hidden="1" spans="1:14">
      <c r="A643" s="235"/>
      <c r="B643" s="230" t="s">
        <v>1035</v>
      </c>
      <c r="C643" s="229">
        <v>1.6</v>
      </c>
      <c r="D643" s="229">
        <v>1.6</v>
      </c>
      <c r="E643" s="229">
        <v>1.6</v>
      </c>
      <c r="F643" s="229"/>
      <c r="G643" s="229"/>
      <c r="H643" s="229"/>
      <c r="I643" s="229"/>
      <c r="J643" s="229"/>
      <c r="K643" s="229"/>
      <c r="L643" s="229"/>
      <c r="M643" s="229"/>
      <c r="N643" s="232"/>
    </row>
    <row r="644" hidden="1" spans="1:14">
      <c r="A644" s="235"/>
      <c r="B644" s="230" t="s">
        <v>1031</v>
      </c>
      <c r="C644" s="229">
        <v>6.48</v>
      </c>
      <c r="D644" s="229">
        <v>6.48</v>
      </c>
      <c r="E644" s="229">
        <v>6.48</v>
      </c>
      <c r="F644" s="229"/>
      <c r="G644" s="229"/>
      <c r="H644" s="229"/>
      <c r="I644" s="229"/>
      <c r="J644" s="229"/>
      <c r="K644" s="229"/>
      <c r="L644" s="229"/>
      <c r="M644" s="229"/>
      <c r="N644" s="232"/>
    </row>
    <row r="645" hidden="1" spans="1:14">
      <c r="A645" s="235"/>
      <c r="B645" s="230" t="s">
        <v>1038</v>
      </c>
      <c r="C645" s="229">
        <v>0.086</v>
      </c>
      <c r="D645" s="229">
        <v>0.086</v>
      </c>
      <c r="E645" s="229">
        <v>0.086</v>
      </c>
      <c r="F645" s="229"/>
      <c r="G645" s="229"/>
      <c r="H645" s="229"/>
      <c r="I645" s="229"/>
      <c r="J645" s="229"/>
      <c r="K645" s="229"/>
      <c r="L645" s="229"/>
      <c r="M645" s="229"/>
      <c r="N645" s="232"/>
    </row>
    <row r="646" hidden="1" spans="1:14">
      <c r="A646" s="235"/>
      <c r="B646" s="230" t="s">
        <v>1036</v>
      </c>
      <c r="C646" s="229">
        <v>52.182276</v>
      </c>
      <c r="D646" s="229">
        <v>52.182276</v>
      </c>
      <c r="E646" s="229">
        <v>52.182276</v>
      </c>
      <c r="F646" s="229"/>
      <c r="G646" s="229"/>
      <c r="H646" s="229"/>
      <c r="I646" s="229"/>
      <c r="J646" s="229"/>
      <c r="K646" s="229"/>
      <c r="L646" s="229"/>
      <c r="M646" s="229"/>
      <c r="N646" s="232"/>
    </row>
    <row r="647" hidden="1" spans="1:14">
      <c r="A647" s="235"/>
      <c r="B647" s="230" t="s">
        <v>1033</v>
      </c>
      <c r="C647" s="229">
        <v>127.357455</v>
      </c>
      <c r="D647" s="229">
        <v>127.357455</v>
      </c>
      <c r="E647" s="229">
        <v>127.357455</v>
      </c>
      <c r="F647" s="229"/>
      <c r="G647" s="229"/>
      <c r="H647" s="229"/>
      <c r="I647" s="229"/>
      <c r="J647" s="229"/>
      <c r="K647" s="229"/>
      <c r="L647" s="229"/>
      <c r="M647" s="229"/>
      <c r="N647" s="232"/>
    </row>
    <row r="648" spans="1:14">
      <c r="A648" s="227" t="s">
        <v>1063</v>
      </c>
      <c r="B648" s="231" t="s">
        <v>677</v>
      </c>
      <c r="C648" s="229">
        <v>22176.842</v>
      </c>
      <c r="D648" s="229">
        <v>702</v>
      </c>
      <c r="E648" s="229">
        <v>702</v>
      </c>
      <c r="F648" s="229"/>
      <c r="G648" s="229"/>
      <c r="H648" s="229">
        <v>21474.842</v>
      </c>
      <c r="I648" s="229">
        <v>21474.842</v>
      </c>
      <c r="J648" s="229"/>
      <c r="K648" s="229"/>
      <c r="L648" s="229"/>
      <c r="M648" s="229"/>
      <c r="N648" s="233" t="s">
        <v>578</v>
      </c>
    </row>
    <row r="649" hidden="1" spans="1:14">
      <c r="A649" s="235"/>
      <c r="B649" s="236" t="s">
        <v>1064</v>
      </c>
      <c r="C649" s="229">
        <v>135.4</v>
      </c>
      <c r="D649" s="229"/>
      <c r="E649" s="229"/>
      <c r="F649" s="229"/>
      <c r="G649" s="229"/>
      <c r="H649" s="229">
        <v>135.4</v>
      </c>
      <c r="I649" s="229">
        <v>135.4</v>
      </c>
      <c r="J649" s="229"/>
      <c r="K649" s="229"/>
      <c r="L649" s="229"/>
      <c r="M649" s="229"/>
      <c r="N649" s="232"/>
    </row>
    <row r="650" hidden="1" spans="1:14">
      <c r="A650" s="227"/>
      <c r="B650" s="236" t="s">
        <v>1032</v>
      </c>
      <c r="C650" s="229">
        <v>7747.7</v>
      </c>
      <c r="D650" s="229">
        <v>702</v>
      </c>
      <c r="E650" s="229">
        <v>702</v>
      </c>
      <c r="F650" s="229"/>
      <c r="G650" s="229"/>
      <c r="H650" s="229">
        <v>7045.7</v>
      </c>
      <c r="I650" s="229">
        <v>7045.7</v>
      </c>
      <c r="J650" s="229"/>
      <c r="K650" s="229"/>
      <c r="L650" s="229"/>
      <c r="M650" s="229"/>
      <c r="N650" s="233"/>
    </row>
    <row r="651" hidden="1" spans="1:14">
      <c r="A651" s="227"/>
      <c r="B651" s="236" t="s">
        <v>1030</v>
      </c>
      <c r="C651" s="229">
        <v>12.4</v>
      </c>
      <c r="D651" s="229"/>
      <c r="E651" s="229"/>
      <c r="F651" s="229"/>
      <c r="G651" s="229"/>
      <c r="H651" s="229">
        <v>12.4</v>
      </c>
      <c r="I651" s="229">
        <v>12.4</v>
      </c>
      <c r="J651" s="229"/>
      <c r="K651" s="229"/>
      <c r="L651" s="229"/>
      <c r="M651" s="229"/>
      <c r="N651" s="233"/>
    </row>
    <row r="652" hidden="1" spans="1:14">
      <c r="A652" s="227"/>
      <c r="B652" s="236" t="s">
        <v>1039</v>
      </c>
      <c r="C652" s="229">
        <v>204.3</v>
      </c>
      <c r="D652" s="229"/>
      <c r="E652" s="229"/>
      <c r="F652" s="229"/>
      <c r="G652" s="229"/>
      <c r="H652" s="229">
        <v>204.3</v>
      </c>
      <c r="I652" s="229">
        <v>204.3</v>
      </c>
      <c r="J652" s="229"/>
      <c r="K652" s="229"/>
      <c r="L652" s="229"/>
      <c r="M652" s="229"/>
      <c r="N652" s="233"/>
    </row>
    <row r="653" hidden="1" spans="1:14">
      <c r="A653" s="227"/>
      <c r="B653" s="151" t="s">
        <v>1027</v>
      </c>
      <c r="C653" s="229">
        <v>15</v>
      </c>
      <c r="D653" s="229"/>
      <c r="E653" s="229"/>
      <c r="F653" s="229"/>
      <c r="G653" s="229"/>
      <c r="H653" s="229">
        <v>15</v>
      </c>
      <c r="I653" s="229">
        <v>15</v>
      </c>
      <c r="J653" s="229"/>
      <c r="K653" s="229"/>
      <c r="L653" s="229"/>
      <c r="M653" s="229"/>
      <c r="N653" s="233"/>
    </row>
    <row r="654" hidden="1" spans="1:14">
      <c r="A654" s="227"/>
      <c r="B654" s="236" t="s">
        <v>1029</v>
      </c>
      <c r="C654" s="229">
        <v>11517.842</v>
      </c>
      <c r="D654" s="229"/>
      <c r="E654" s="229"/>
      <c r="F654" s="229"/>
      <c r="G654" s="229"/>
      <c r="H654" s="229">
        <v>11517.842</v>
      </c>
      <c r="I654" s="229">
        <v>11517.842</v>
      </c>
      <c r="J654" s="229"/>
      <c r="K654" s="229"/>
      <c r="L654" s="229"/>
      <c r="M654" s="229"/>
      <c r="N654" s="233"/>
    </row>
    <row r="655" hidden="1" spans="1:14">
      <c r="A655" s="227"/>
      <c r="B655" s="236" t="s">
        <v>1034</v>
      </c>
      <c r="C655" s="229">
        <v>74.7</v>
      </c>
      <c r="D655" s="229"/>
      <c r="E655" s="229"/>
      <c r="F655" s="229"/>
      <c r="G655" s="229"/>
      <c r="H655" s="229">
        <v>74.7</v>
      </c>
      <c r="I655" s="229">
        <v>74.7</v>
      </c>
      <c r="J655" s="229"/>
      <c r="K655" s="229"/>
      <c r="L655" s="229"/>
      <c r="M655" s="229"/>
      <c r="N655" s="233"/>
    </row>
    <row r="656" hidden="1" spans="1:14">
      <c r="A656" s="227"/>
      <c r="B656" s="236" t="s">
        <v>1037</v>
      </c>
      <c r="C656" s="229">
        <v>19.7</v>
      </c>
      <c r="D656" s="229"/>
      <c r="E656" s="229"/>
      <c r="F656" s="229"/>
      <c r="G656" s="229"/>
      <c r="H656" s="229">
        <v>19.7</v>
      </c>
      <c r="I656" s="229">
        <v>19.7</v>
      </c>
      <c r="J656" s="229"/>
      <c r="K656" s="229"/>
      <c r="L656" s="229"/>
      <c r="M656" s="229"/>
      <c r="N656" s="233"/>
    </row>
    <row r="657" hidden="1" spans="1:14">
      <c r="A657" s="227"/>
      <c r="B657" s="236" t="s">
        <v>1033</v>
      </c>
      <c r="C657" s="229">
        <v>1695.2</v>
      </c>
      <c r="D657" s="229"/>
      <c r="E657" s="229"/>
      <c r="F657" s="229"/>
      <c r="G657" s="229"/>
      <c r="H657" s="229">
        <v>1695.2</v>
      </c>
      <c r="I657" s="229">
        <v>1695.2</v>
      </c>
      <c r="J657" s="229"/>
      <c r="K657" s="229"/>
      <c r="L657" s="229"/>
      <c r="M657" s="229"/>
      <c r="N657" s="233"/>
    </row>
    <row r="658" hidden="1" spans="1:14">
      <c r="A658" s="227"/>
      <c r="B658" s="236" t="s">
        <v>1036</v>
      </c>
      <c r="C658" s="229">
        <v>754.6</v>
      </c>
      <c r="D658" s="229"/>
      <c r="E658" s="229"/>
      <c r="F658" s="229"/>
      <c r="G658" s="229"/>
      <c r="H658" s="229">
        <v>754.6</v>
      </c>
      <c r="I658" s="229">
        <v>754.6</v>
      </c>
      <c r="J658" s="229"/>
      <c r="K658" s="229"/>
      <c r="L658" s="229"/>
      <c r="M658" s="229"/>
      <c r="N658" s="233"/>
    </row>
    <row r="659" spans="1:14">
      <c r="A659" s="227" t="s">
        <v>1065</v>
      </c>
      <c r="B659" s="231" t="s">
        <v>678</v>
      </c>
      <c r="C659" s="229">
        <v>2334.856857</v>
      </c>
      <c r="D659" s="229">
        <v>1194.395243</v>
      </c>
      <c r="E659" s="229">
        <v>1194.395243</v>
      </c>
      <c r="F659" s="229"/>
      <c r="G659" s="229"/>
      <c r="H659" s="229">
        <v>1140.461614</v>
      </c>
      <c r="I659" s="229">
        <v>1140.461614</v>
      </c>
      <c r="J659" s="229"/>
      <c r="K659" s="229"/>
      <c r="L659" s="229"/>
      <c r="M659" s="229"/>
      <c r="N659" s="233" t="s">
        <v>578</v>
      </c>
    </row>
    <row r="660" hidden="1" spans="1:14">
      <c r="A660" s="235"/>
      <c r="B660" s="236" t="s">
        <v>1035</v>
      </c>
      <c r="C660" s="229">
        <v>5.6</v>
      </c>
      <c r="D660" s="229">
        <v>5.6</v>
      </c>
      <c r="E660" s="229">
        <v>5.6</v>
      </c>
      <c r="F660" s="229"/>
      <c r="G660" s="229"/>
      <c r="H660" s="229"/>
      <c r="I660" s="229"/>
      <c r="J660" s="229"/>
      <c r="K660" s="229"/>
      <c r="L660" s="229"/>
      <c r="M660" s="229"/>
      <c r="N660" s="232"/>
    </row>
    <row r="661" hidden="1" spans="1:14">
      <c r="A661" s="235"/>
      <c r="B661" s="236" t="s">
        <v>1036</v>
      </c>
      <c r="C661" s="229">
        <v>177.533568</v>
      </c>
      <c r="D661" s="229">
        <v>77.283216</v>
      </c>
      <c r="E661" s="229">
        <v>77.283216</v>
      </c>
      <c r="F661" s="229"/>
      <c r="G661" s="229"/>
      <c r="H661" s="229">
        <v>100.250352</v>
      </c>
      <c r="I661" s="229">
        <v>100.250352</v>
      </c>
      <c r="J661" s="229"/>
      <c r="K661" s="229"/>
      <c r="L661" s="229"/>
      <c r="M661" s="229"/>
      <c r="N661" s="232"/>
    </row>
    <row r="662" hidden="1" spans="1:14">
      <c r="A662" s="235"/>
      <c r="B662" s="236" t="s">
        <v>1029</v>
      </c>
      <c r="C662" s="229">
        <v>190.51</v>
      </c>
      <c r="D662" s="229">
        <v>57.51</v>
      </c>
      <c r="E662" s="229">
        <v>57.51</v>
      </c>
      <c r="F662" s="229"/>
      <c r="G662" s="229"/>
      <c r="H662" s="229">
        <v>133</v>
      </c>
      <c r="I662" s="229">
        <v>133</v>
      </c>
      <c r="J662" s="229"/>
      <c r="K662" s="229"/>
      <c r="L662" s="229"/>
      <c r="M662" s="229"/>
      <c r="N662" s="232"/>
    </row>
    <row r="663" hidden="1" spans="1:14">
      <c r="A663" s="235"/>
      <c r="B663" s="236" t="s">
        <v>1034</v>
      </c>
      <c r="C663" s="229">
        <v>3.042</v>
      </c>
      <c r="D663" s="229">
        <v>3.042</v>
      </c>
      <c r="E663" s="229">
        <v>3.042</v>
      </c>
      <c r="F663" s="229"/>
      <c r="G663" s="229"/>
      <c r="H663" s="229"/>
      <c r="I663" s="229"/>
      <c r="J663" s="229"/>
      <c r="K663" s="229"/>
      <c r="L663" s="229"/>
      <c r="M663" s="229"/>
      <c r="N663" s="232"/>
    </row>
    <row r="664" hidden="1" spans="1:14">
      <c r="A664" s="235"/>
      <c r="B664" s="236" t="s">
        <v>1038</v>
      </c>
      <c r="C664" s="229">
        <v>0.45</v>
      </c>
      <c r="D664" s="229">
        <v>0.45</v>
      </c>
      <c r="E664" s="229">
        <v>0.45</v>
      </c>
      <c r="F664" s="229"/>
      <c r="G664" s="229"/>
      <c r="H664" s="229"/>
      <c r="I664" s="229"/>
      <c r="J664" s="229"/>
      <c r="K664" s="229"/>
      <c r="L664" s="229"/>
      <c r="M664" s="229"/>
      <c r="N664" s="232"/>
    </row>
    <row r="665" hidden="1" spans="1:14">
      <c r="A665" s="235"/>
      <c r="B665" s="236" t="s">
        <v>1032</v>
      </c>
      <c r="C665" s="229">
        <v>1479.4464</v>
      </c>
      <c r="D665" s="229">
        <v>826.0268</v>
      </c>
      <c r="E665" s="229">
        <v>826.0268</v>
      </c>
      <c r="F665" s="229"/>
      <c r="G665" s="229"/>
      <c r="H665" s="229">
        <v>653.4196</v>
      </c>
      <c r="I665" s="229">
        <v>653.4196</v>
      </c>
      <c r="J665" s="229"/>
      <c r="K665" s="229"/>
      <c r="L665" s="229"/>
      <c r="M665" s="229"/>
      <c r="N665" s="232"/>
    </row>
    <row r="666" hidden="1" spans="1:14">
      <c r="A666" s="235"/>
      <c r="B666" s="236" t="s">
        <v>1033</v>
      </c>
      <c r="C666" s="229">
        <v>448.685961</v>
      </c>
      <c r="D666" s="229">
        <v>211.602691</v>
      </c>
      <c r="E666" s="229">
        <v>211.602691</v>
      </c>
      <c r="F666" s="229"/>
      <c r="G666" s="229"/>
      <c r="H666" s="229">
        <v>237.08327</v>
      </c>
      <c r="I666" s="229">
        <v>237.08327</v>
      </c>
      <c r="J666" s="229"/>
      <c r="K666" s="229"/>
      <c r="L666" s="229"/>
      <c r="M666" s="229"/>
      <c r="N666" s="232"/>
    </row>
    <row r="667" hidden="1" spans="1:14">
      <c r="A667" s="235"/>
      <c r="B667" s="236" t="s">
        <v>1039</v>
      </c>
      <c r="C667" s="229">
        <v>29.588928</v>
      </c>
      <c r="D667" s="229">
        <v>12.880536</v>
      </c>
      <c r="E667" s="229">
        <v>12.880536</v>
      </c>
      <c r="F667" s="229"/>
      <c r="G667" s="229"/>
      <c r="H667" s="229">
        <v>16.708392</v>
      </c>
      <c r="I667" s="229">
        <v>16.708392</v>
      </c>
      <c r="J667" s="229"/>
      <c r="K667" s="229"/>
      <c r="L667" s="229"/>
      <c r="M667" s="229"/>
      <c r="N667" s="232"/>
    </row>
    <row r="668" spans="1:14">
      <c r="A668" s="227" t="s">
        <v>1066</v>
      </c>
      <c r="B668" s="231" t="s">
        <v>679</v>
      </c>
      <c r="C668" s="229">
        <v>132.98142</v>
      </c>
      <c r="D668" s="229">
        <v>132.98142</v>
      </c>
      <c r="E668" s="229">
        <v>132.98142</v>
      </c>
      <c r="F668" s="229"/>
      <c r="G668" s="229"/>
      <c r="H668" s="229"/>
      <c r="I668" s="229"/>
      <c r="J668" s="229"/>
      <c r="K668" s="229"/>
      <c r="L668" s="229"/>
      <c r="M668" s="229"/>
      <c r="N668" s="233" t="s">
        <v>578</v>
      </c>
    </row>
    <row r="669" hidden="1" spans="1:14">
      <c r="A669" s="235"/>
      <c r="B669" s="230" t="s">
        <v>1033</v>
      </c>
      <c r="C669" s="229">
        <v>24.15168</v>
      </c>
      <c r="D669" s="229">
        <v>24.15168</v>
      </c>
      <c r="E669" s="229">
        <v>24.15168</v>
      </c>
      <c r="F669" s="229"/>
      <c r="G669" s="229"/>
      <c r="H669" s="229"/>
      <c r="I669" s="229"/>
      <c r="J669" s="229"/>
      <c r="K669" s="229"/>
      <c r="L669" s="229"/>
      <c r="M669" s="229"/>
      <c r="N669" s="232"/>
    </row>
    <row r="670" hidden="1" spans="1:14">
      <c r="A670" s="235"/>
      <c r="B670" s="230" t="s">
        <v>1039</v>
      </c>
      <c r="C670" s="229">
        <v>1.80982</v>
      </c>
      <c r="D670" s="229">
        <v>1.80982</v>
      </c>
      <c r="E670" s="229">
        <v>1.80982</v>
      </c>
      <c r="F670" s="229"/>
      <c r="G670" s="229"/>
      <c r="H670" s="229"/>
      <c r="I670" s="229"/>
      <c r="J670" s="229"/>
      <c r="K670" s="229"/>
      <c r="L670" s="229"/>
      <c r="M670" s="229"/>
      <c r="N670" s="232"/>
    </row>
    <row r="671" hidden="1" spans="1:14">
      <c r="A671" s="235"/>
      <c r="B671" s="230" t="s">
        <v>1036</v>
      </c>
      <c r="C671" s="229">
        <v>10.85892</v>
      </c>
      <c r="D671" s="229">
        <v>10.85892</v>
      </c>
      <c r="E671" s="229">
        <v>10.85892</v>
      </c>
      <c r="F671" s="229"/>
      <c r="G671" s="229"/>
      <c r="H671" s="229"/>
      <c r="I671" s="229"/>
      <c r="J671" s="229"/>
      <c r="K671" s="229"/>
      <c r="L671" s="229"/>
      <c r="M671" s="229"/>
      <c r="N671" s="232"/>
    </row>
    <row r="672" hidden="1" spans="1:14">
      <c r="A672" s="235"/>
      <c r="B672" s="230" t="s">
        <v>1032</v>
      </c>
      <c r="C672" s="229">
        <v>90.491</v>
      </c>
      <c r="D672" s="229">
        <v>90.491</v>
      </c>
      <c r="E672" s="229">
        <v>90.491</v>
      </c>
      <c r="F672" s="229"/>
      <c r="G672" s="229"/>
      <c r="H672" s="229"/>
      <c r="I672" s="229"/>
      <c r="J672" s="229"/>
      <c r="K672" s="229"/>
      <c r="L672" s="229"/>
      <c r="M672" s="229"/>
      <c r="N672" s="232"/>
    </row>
    <row r="673" hidden="1" spans="1:14">
      <c r="A673" s="235"/>
      <c r="B673" s="230" t="s">
        <v>1029</v>
      </c>
      <c r="C673" s="229">
        <v>5.67</v>
      </c>
      <c r="D673" s="229">
        <v>5.67</v>
      </c>
      <c r="E673" s="229">
        <v>5.67</v>
      </c>
      <c r="F673" s="229"/>
      <c r="G673" s="229"/>
      <c r="H673" s="229"/>
      <c r="I673" s="229"/>
      <c r="J673" s="229"/>
      <c r="K673" s="229"/>
      <c r="L673" s="229"/>
      <c r="M673" s="229"/>
      <c r="N673" s="232"/>
    </row>
    <row r="674" spans="1:14">
      <c r="A674" s="227" t="s">
        <v>1067</v>
      </c>
      <c r="B674" s="231" t="s">
        <v>680</v>
      </c>
      <c r="C674" s="229">
        <v>4356.304528</v>
      </c>
      <c r="D674" s="229">
        <v>1156.304528</v>
      </c>
      <c r="E674" s="229">
        <v>1156.304528</v>
      </c>
      <c r="F674" s="229"/>
      <c r="G674" s="229"/>
      <c r="H674" s="229">
        <v>3200</v>
      </c>
      <c r="I674" s="229">
        <v>3200</v>
      </c>
      <c r="J674" s="229"/>
      <c r="K674" s="229"/>
      <c r="L674" s="229"/>
      <c r="M674" s="229"/>
      <c r="N674" s="233" t="s">
        <v>578</v>
      </c>
    </row>
    <row r="675" hidden="1" spans="1:14">
      <c r="A675" s="235"/>
      <c r="B675" s="230" t="s">
        <v>1027</v>
      </c>
      <c r="C675" s="229">
        <v>6</v>
      </c>
      <c r="D675" s="229">
        <v>6</v>
      </c>
      <c r="E675" s="229">
        <v>6</v>
      </c>
      <c r="F675" s="229"/>
      <c r="G675" s="229"/>
      <c r="H675" s="229"/>
      <c r="I675" s="229"/>
      <c r="J675" s="229"/>
      <c r="K675" s="229"/>
      <c r="L675" s="229"/>
      <c r="M675" s="229"/>
      <c r="N675" s="232"/>
    </row>
    <row r="676" hidden="1" spans="1:14">
      <c r="A676" s="235"/>
      <c r="B676" s="230" t="s">
        <v>1039</v>
      </c>
      <c r="C676" s="229">
        <v>20.315568</v>
      </c>
      <c r="D676" s="229">
        <v>20.315568</v>
      </c>
      <c r="E676" s="229">
        <v>20.315568</v>
      </c>
      <c r="F676" s="229"/>
      <c r="G676" s="229"/>
      <c r="H676" s="229"/>
      <c r="I676" s="229"/>
      <c r="J676" s="229"/>
      <c r="K676" s="229"/>
      <c r="L676" s="229"/>
      <c r="M676" s="229"/>
      <c r="N676" s="232"/>
    </row>
    <row r="677" hidden="1" spans="1:14">
      <c r="A677" s="235"/>
      <c r="B677" s="230" t="s">
        <v>1064</v>
      </c>
      <c r="C677" s="229">
        <v>300</v>
      </c>
      <c r="D677" s="229"/>
      <c r="E677" s="229"/>
      <c r="F677" s="229"/>
      <c r="G677" s="229"/>
      <c r="H677" s="229">
        <v>300</v>
      </c>
      <c r="I677" s="229">
        <v>300</v>
      </c>
      <c r="J677" s="229"/>
      <c r="K677" s="229"/>
      <c r="L677" s="229"/>
      <c r="M677" s="229"/>
      <c r="N677" s="232"/>
    </row>
    <row r="678" hidden="1" spans="1:14">
      <c r="A678" s="235"/>
      <c r="B678" s="230" t="s">
        <v>1036</v>
      </c>
      <c r="C678" s="229">
        <v>121.893408</v>
      </c>
      <c r="D678" s="229">
        <v>121.893408</v>
      </c>
      <c r="E678" s="229">
        <v>121.893408</v>
      </c>
      <c r="F678" s="229"/>
      <c r="G678" s="229"/>
      <c r="H678" s="229"/>
      <c r="I678" s="229"/>
      <c r="J678" s="229"/>
      <c r="K678" s="229"/>
      <c r="L678" s="229"/>
      <c r="M678" s="229"/>
      <c r="N678" s="232"/>
    </row>
    <row r="679" hidden="1" spans="1:14">
      <c r="A679" s="235"/>
      <c r="B679" s="230" t="s">
        <v>1035</v>
      </c>
      <c r="C679" s="229">
        <v>4.2</v>
      </c>
      <c r="D679" s="229">
        <v>4.2</v>
      </c>
      <c r="E679" s="229">
        <v>4.2</v>
      </c>
      <c r="F679" s="229"/>
      <c r="G679" s="229"/>
      <c r="H679" s="229"/>
      <c r="I679" s="229"/>
      <c r="J679" s="229"/>
      <c r="K679" s="229"/>
      <c r="L679" s="229"/>
      <c r="M679" s="229"/>
      <c r="N679" s="232"/>
    </row>
    <row r="680" hidden="1" spans="1:14">
      <c r="A680" s="235"/>
      <c r="B680" s="230" t="s">
        <v>1029</v>
      </c>
      <c r="C680" s="229">
        <v>2964.8</v>
      </c>
      <c r="D680" s="229">
        <v>64.8</v>
      </c>
      <c r="E680" s="229">
        <v>64.8</v>
      </c>
      <c r="F680" s="229"/>
      <c r="G680" s="229"/>
      <c r="H680" s="229">
        <v>2900</v>
      </c>
      <c r="I680" s="229">
        <v>2900</v>
      </c>
      <c r="J680" s="229"/>
      <c r="K680" s="229"/>
      <c r="L680" s="229"/>
      <c r="M680" s="229"/>
      <c r="N680" s="232"/>
    </row>
    <row r="681" hidden="1" spans="1:14">
      <c r="A681" s="235"/>
      <c r="B681" s="230" t="s">
        <v>1037</v>
      </c>
      <c r="C681" s="229">
        <v>3.087</v>
      </c>
      <c r="D681" s="229">
        <v>3.087</v>
      </c>
      <c r="E681" s="229">
        <v>3.087</v>
      </c>
      <c r="F681" s="229"/>
      <c r="G681" s="229"/>
      <c r="H681" s="229"/>
      <c r="I681" s="229"/>
      <c r="J681" s="229"/>
      <c r="K681" s="229"/>
      <c r="L681" s="229"/>
      <c r="M681" s="229"/>
      <c r="N681" s="232"/>
    </row>
    <row r="682" hidden="1" spans="1:14">
      <c r="A682" s="235"/>
      <c r="B682" s="230" t="s">
        <v>1034</v>
      </c>
      <c r="C682" s="229">
        <v>4.056</v>
      </c>
      <c r="D682" s="229">
        <v>4.056</v>
      </c>
      <c r="E682" s="229">
        <v>4.056</v>
      </c>
      <c r="F682" s="229"/>
      <c r="G682" s="229"/>
      <c r="H682" s="229"/>
      <c r="I682" s="229"/>
      <c r="J682" s="229"/>
      <c r="K682" s="229"/>
      <c r="L682" s="229"/>
      <c r="M682" s="229"/>
      <c r="N682" s="232"/>
    </row>
    <row r="683" hidden="1" spans="1:14">
      <c r="A683" s="235"/>
      <c r="B683" s="230" t="s">
        <v>1032</v>
      </c>
      <c r="C683" s="229">
        <v>625.6896</v>
      </c>
      <c r="D683" s="229">
        <v>625.6896</v>
      </c>
      <c r="E683" s="229">
        <v>625.6896</v>
      </c>
      <c r="F683" s="229"/>
      <c r="G683" s="229"/>
      <c r="H683" s="229"/>
      <c r="I683" s="229"/>
      <c r="J683" s="229"/>
      <c r="K683" s="229"/>
      <c r="L683" s="229"/>
      <c r="M683" s="229"/>
      <c r="N683" s="232"/>
    </row>
    <row r="684" hidden="1" spans="1:14">
      <c r="A684" s="235"/>
      <c r="B684" s="230" t="s">
        <v>1033</v>
      </c>
      <c r="C684" s="229">
        <v>305.812952</v>
      </c>
      <c r="D684" s="229">
        <v>305.812952</v>
      </c>
      <c r="E684" s="229">
        <v>305.812952</v>
      </c>
      <c r="F684" s="229"/>
      <c r="G684" s="229"/>
      <c r="H684" s="229"/>
      <c r="I684" s="229"/>
      <c r="J684" s="229"/>
      <c r="K684" s="229"/>
      <c r="L684" s="229"/>
      <c r="M684" s="229"/>
      <c r="N684" s="232"/>
    </row>
    <row r="685" hidden="1" spans="1:14">
      <c r="A685" s="235"/>
      <c r="B685" s="230" t="s">
        <v>1038</v>
      </c>
      <c r="C685" s="229">
        <v>0.45</v>
      </c>
      <c r="D685" s="229">
        <v>0.45</v>
      </c>
      <c r="E685" s="229">
        <v>0.45</v>
      </c>
      <c r="F685" s="229"/>
      <c r="G685" s="229"/>
      <c r="H685" s="229"/>
      <c r="I685" s="229"/>
      <c r="J685" s="229"/>
      <c r="K685" s="229"/>
      <c r="L685" s="229"/>
      <c r="M685" s="229"/>
      <c r="N685" s="232"/>
    </row>
    <row r="686" spans="1:14">
      <c r="A686" s="227" t="s">
        <v>1068</v>
      </c>
      <c r="B686" s="231" t="s">
        <v>681</v>
      </c>
      <c r="C686" s="229">
        <v>66586.89</v>
      </c>
      <c r="D686" s="229">
        <v>1422.615345</v>
      </c>
      <c r="E686" s="229">
        <v>1422.615345</v>
      </c>
      <c r="F686" s="229"/>
      <c r="G686" s="229"/>
      <c r="H686" s="229">
        <v>65164.274655</v>
      </c>
      <c r="I686" s="229">
        <v>64394.274655</v>
      </c>
      <c r="J686" s="229"/>
      <c r="K686" s="229"/>
      <c r="L686" s="229"/>
      <c r="M686" s="229">
        <v>770</v>
      </c>
      <c r="N686" s="233" t="s">
        <v>578</v>
      </c>
    </row>
    <row r="687" hidden="1" spans="1:14">
      <c r="A687" s="235"/>
      <c r="B687" s="151" t="s">
        <v>1033</v>
      </c>
      <c r="C687" s="229">
        <v>3704</v>
      </c>
      <c r="D687" s="229"/>
      <c r="E687" s="229"/>
      <c r="F687" s="229"/>
      <c r="G687" s="229"/>
      <c r="H687" s="229">
        <v>3704</v>
      </c>
      <c r="I687" s="229">
        <v>3704</v>
      </c>
      <c r="J687" s="229"/>
      <c r="K687" s="229"/>
      <c r="L687" s="229"/>
      <c r="M687" s="229"/>
      <c r="N687" s="232"/>
    </row>
    <row r="688" hidden="1" spans="1:14">
      <c r="A688" s="235"/>
      <c r="B688" s="236" t="s">
        <v>1039</v>
      </c>
      <c r="C688" s="229">
        <v>180</v>
      </c>
      <c r="D688" s="229"/>
      <c r="E688" s="229"/>
      <c r="F688" s="229"/>
      <c r="G688" s="229"/>
      <c r="H688" s="229">
        <v>180</v>
      </c>
      <c r="I688" s="229">
        <v>180</v>
      </c>
      <c r="J688" s="229"/>
      <c r="K688" s="229"/>
      <c r="L688" s="229"/>
      <c r="M688" s="229"/>
      <c r="N688" s="232"/>
    </row>
    <row r="689" hidden="1" spans="1:14">
      <c r="A689" s="235"/>
      <c r="B689" s="236" t="s">
        <v>1042</v>
      </c>
      <c r="C689" s="229">
        <v>0.34</v>
      </c>
      <c r="D689" s="229">
        <v>0.34</v>
      </c>
      <c r="E689" s="229">
        <v>0.34</v>
      </c>
      <c r="F689" s="229"/>
      <c r="G689" s="229"/>
      <c r="H689" s="229"/>
      <c r="I689" s="229"/>
      <c r="J689" s="229"/>
      <c r="K689" s="229"/>
      <c r="L689" s="229"/>
      <c r="M689" s="229"/>
      <c r="N689" s="232"/>
    </row>
    <row r="690" hidden="1" spans="1:14">
      <c r="A690" s="235"/>
      <c r="B690" s="236" t="s">
        <v>1030</v>
      </c>
      <c r="C690" s="229">
        <v>50</v>
      </c>
      <c r="D690" s="229"/>
      <c r="E690" s="229"/>
      <c r="F690" s="229"/>
      <c r="G690" s="229"/>
      <c r="H690" s="229">
        <v>50</v>
      </c>
      <c r="I690" s="229">
        <v>50</v>
      </c>
      <c r="J690" s="229"/>
      <c r="K690" s="229"/>
      <c r="L690" s="229"/>
      <c r="M690" s="229"/>
      <c r="N690" s="232"/>
    </row>
    <row r="691" hidden="1" spans="1:14">
      <c r="A691" s="227"/>
      <c r="B691" s="236" t="s">
        <v>1038</v>
      </c>
      <c r="C691" s="229">
        <v>0.208</v>
      </c>
      <c r="D691" s="229">
        <v>0.208</v>
      </c>
      <c r="E691" s="229">
        <v>0.208</v>
      </c>
      <c r="F691" s="229"/>
      <c r="G691" s="229"/>
      <c r="H691" s="229"/>
      <c r="I691" s="229"/>
      <c r="J691" s="229"/>
      <c r="K691" s="229"/>
      <c r="L691" s="229"/>
      <c r="M691" s="229"/>
      <c r="N691" s="233"/>
    </row>
    <row r="692" hidden="1" spans="1:14">
      <c r="A692" s="227"/>
      <c r="B692" s="236" t="s">
        <v>1036</v>
      </c>
      <c r="C692" s="229">
        <v>1600</v>
      </c>
      <c r="D692" s="229"/>
      <c r="E692" s="229"/>
      <c r="F692" s="229"/>
      <c r="G692" s="229"/>
      <c r="H692" s="229">
        <v>1600</v>
      </c>
      <c r="I692" s="229">
        <v>1600</v>
      </c>
      <c r="J692" s="229"/>
      <c r="K692" s="229"/>
      <c r="L692" s="229"/>
      <c r="M692" s="229"/>
      <c r="N692" s="233"/>
    </row>
    <row r="693" hidden="1" spans="1:14">
      <c r="A693" s="227"/>
      <c r="B693" s="236" t="s">
        <v>1034</v>
      </c>
      <c r="C693" s="229">
        <v>10</v>
      </c>
      <c r="D693" s="229"/>
      <c r="E693" s="229"/>
      <c r="F693" s="229"/>
      <c r="G693" s="229"/>
      <c r="H693" s="229">
        <v>10</v>
      </c>
      <c r="I693" s="229">
        <v>10</v>
      </c>
      <c r="J693" s="229"/>
      <c r="K693" s="229"/>
      <c r="L693" s="229"/>
      <c r="M693" s="229"/>
      <c r="N693" s="233"/>
    </row>
    <row r="694" hidden="1" spans="1:14">
      <c r="A694" s="227"/>
      <c r="B694" s="151" t="s">
        <v>1046</v>
      </c>
      <c r="C694" s="229">
        <v>209.584655</v>
      </c>
      <c r="D694" s="229"/>
      <c r="E694" s="229"/>
      <c r="F694" s="229"/>
      <c r="G694" s="229"/>
      <c r="H694" s="229">
        <v>209.584655</v>
      </c>
      <c r="I694" s="229">
        <v>209.584655</v>
      </c>
      <c r="J694" s="229"/>
      <c r="K694" s="229"/>
      <c r="L694" s="229"/>
      <c r="M694" s="229"/>
      <c r="N694" s="233"/>
    </row>
    <row r="695" hidden="1" spans="1:14">
      <c r="A695" s="227"/>
      <c r="B695" s="236" t="s">
        <v>1029</v>
      </c>
      <c r="C695" s="229">
        <v>44391.89</v>
      </c>
      <c r="D695" s="229"/>
      <c r="E695" s="229"/>
      <c r="F695" s="229"/>
      <c r="G695" s="229"/>
      <c r="H695" s="229">
        <v>44391.89</v>
      </c>
      <c r="I695" s="229">
        <v>43621.89</v>
      </c>
      <c r="J695" s="229"/>
      <c r="K695" s="229"/>
      <c r="L695" s="229"/>
      <c r="M695" s="229">
        <v>770</v>
      </c>
      <c r="N695" s="233"/>
    </row>
    <row r="696" hidden="1" spans="1:14">
      <c r="A696" s="227"/>
      <c r="B696" s="236" t="s">
        <v>1037</v>
      </c>
      <c r="C696" s="229">
        <v>38.867345</v>
      </c>
      <c r="D696" s="229">
        <v>38.867345</v>
      </c>
      <c r="E696" s="229">
        <v>38.867345</v>
      </c>
      <c r="F696" s="229"/>
      <c r="G696" s="229"/>
      <c r="H696" s="229"/>
      <c r="I696" s="229"/>
      <c r="J696" s="229"/>
      <c r="K696" s="229"/>
      <c r="L696" s="229"/>
      <c r="M696" s="229"/>
      <c r="N696" s="233"/>
    </row>
    <row r="697" hidden="1" spans="1:14">
      <c r="A697" s="227"/>
      <c r="B697" s="236" t="s">
        <v>1032</v>
      </c>
      <c r="C697" s="229">
        <v>16402</v>
      </c>
      <c r="D697" s="229">
        <v>1383.2</v>
      </c>
      <c r="E697" s="229">
        <v>1383.2</v>
      </c>
      <c r="F697" s="229"/>
      <c r="G697" s="229"/>
      <c r="H697" s="229">
        <v>15018.8</v>
      </c>
      <c r="I697" s="229">
        <v>15018.8</v>
      </c>
      <c r="J697" s="229"/>
      <c r="K697" s="229"/>
      <c r="L697" s="229"/>
      <c r="M697" s="229"/>
      <c r="N697" s="233"/>
    </row>
    <row r="698" spans="1:14">
      <c r="A698" s="227" t="s">
        <v>1069</v>
      </c>
      <c r="B698" s="231" t="s">
        <v>682</v>
      </c>
      <c r="C698" s="229">
        <v>1172.94007</v>
      </c>
      <c r="D698" s="229">
        <v>565.79007</v>
      </c>
      <c r="E698" s="229">
        <v>565.79007</v>
      </c>
      <c r="F698" s="229"/>
      <c r="G698" s="229"/>
      <c r="H698" s="229">
        <v>607.15</v>
      </c>
      <c r="I698" s="229">
        <v>607.15</v>
      </c>
      <c r="J698" s="229"/>
      <c r="K698" s="229"/>
      <c r="L698" s="229"/>
      <c r="M698" s="229"/>
      <c r="N698" s="233" t="s">
        <v>578</v>
      </c>
    </row>
    <row r="699" hidden="1" spans="1:14">
      <c r="A699" s="235"/>
      <c r="B699" s="230" t="s">
        <v>1035</v>
      </c>
      <c r="C699" s="229">
        <v>7.92</v>
      </c>
      <c r="D699" s="229"/>
      <c r="E699" s="229"/>
      <c r="F699" s="229"/>
      <c r="G699" s="229"/>
      <c r="H699" s="229">
        <v>7.92</v>
      </c>
      <c r="I699" s="229">
        <v>7.92</v>
      </c>
      <c r="J699" s="229"/>
      <c r="K699" s="229"/>
      <c r="L699" s="229"/>
      <c r="M699" s="229"/>
      <c r="N699" s="232"/>
    </row>
    <row r="700" hidden="1" spans="1:14">
      <c r="A700" s="235"/>
      <c r="B700" s="230" t="s">
        <v>1029</v>
      </c>
      <c r="C700" s="229">
        <v>110.28007</v>
      </c>
      <c r="D700" s="229"/>
      <c r="E700" s="229"/>
      <c r="F700" s="229"/>
      <c r="G700" s="229"/>
      <c r="H700" s="229">
        <v>110.28007</v>
      </c>
      <c r="I700" s="229">
        <v>110.28007</v>
      </c>
      <c r="J700" s="229"/>
      <c r="K700" s="229"/>
      <c r="L700" s="229"/>
      <c r="M700" s="229"/>
      <c r="N700" s="232"/>
    </row>
    <row r="701" hidden="1" spans="1:14">
      <c r="A701" s="235"/>
      <c r="B701" s="230" t="s">
        <v>1064</v>
      </c>
      <c r="C701" s="229">
        <v>22</v>
      </c>
      <c r="D701" s="229">
        <v>16</v>
      </c>
      <c r="E701" s="229">
        <v>16</v>
      </c>
      <c r="F701" s="229"/>
      <c r="G701" s="229"/>
      <c r="H701" s="229">
        <v>6</v>
      </c>
      <c r="I701" s="229">
        <v>6</v>
      </c>
      <c r="J701" s="229"/>
      <c r="K701" s="229"/>
      <c r="L701" s="229"/>
      <c r="M701" s="229"/>
      <c r="N701" s="232"/>
    </row>
    <row r="702" hidden="1" spans="1:14">
      <c r="A702" s="235"/>
      <c r="B702" s="230" t="s">
        <v>1034</v>
      </c>
      <c r="C702" s="229">
        <v>17.56</v>
      </c>
      <c r="D702" s="229"/>
      <c r="E702" s="229"/>
      <c r="F702" s="229"/>
      <c r="G702" s="229"/>
      <c r="H702" s="229">
        <v>17.56</v>
      </c>
      <c r="I702" s="229">
        <v>17.56</v>
      </c>
      <c r="J702" s="229"/>
      <c r="K702" s="229"/>
      <c r="L702" s="229"/>
      <c r="M702" s="229"/>
      <c r="N702" s="232"/>
    </row>
    <row r="703" hidden="1" spans="1:14">
      <c r="A703" s="235"/>
      <c r="B703" s="230" t="s">
        <v>1036</v>
      </c>
      <c r="C703" s="229">
        <v>70.82</v>
      </c>
      <c r="D703" s="229"/>
      <c r="E703" s="229"/>
      <c r="F703" s="229"/>
      <c r="G703" s="229"/>
      <c r="H703" s="229">
        <v>70.82</v>
      </c>
      <c r="I703" s="229">
        <v>70.82</v>
      </c>
      <c r="J703" s="229"/>
      <c r="K703" s="229"/>
      <c r="L703" s="229"/>
      <c r="M703" s="229"/>
      <c r="N703" s="232"/>
    </row>
    <row r="704" hidden="1" spans="1:14">
      <c r="A704" s="235"/>
      <c r="B704" s="230" t="s">
        <v>1039</v>
      </c>
      <c r="C704" s="229">
        <v>11.88</v>
      </c>
      <c r="D704" s="229"/>
      <c r="E704" s="229"/>
      <c r="F704" s="229"/>
      <c r="G704" s="229"/>
      <c r="H704" s="229">
        <v>11.88</v>
      </c>
      <c r="I704" s="229">
        <v>11.88</v>
      </c>
      <c r="J704" s="229"/>
      <c r="K704" s="229"/>
      <c r="L704" s="229"/>
      <c r="M704" s="229"/>
      <c r="N704" s="232"/>
    </row>
    <row r="705" hidden="1" spans="1:14">
      <c r="A705" s="235"/>
      <c r="B705" s="230" t="s">
        <v>1033</v>
      </c>
      <c r="C705" s="229">
        <v>354.33</v>
      </c>
      <c r="D705" s="229">
        <v>88.75655</v>
      </c>
      <c r="E705" s="229">
        <v>88.75655</v>
      </c>
      <c r="F705" s="229"/>
      <c r="G705" s="229"/>
      <c r="H705" s="229">
        <v>265.57345</v>
      </c>
      <c r="I705" s="229">
        <v>265.57345</v>
      </c>
      <c r="J705" s="229"/>
      <c r="K705" s="229"/>
      <c r="L705" s="229"/>
      <c r="M705" s="229"/>
      <c r="N705" s="232"/>
    </row>
    <row r="706" hidden="1" spans="1:14">
      <c r="A706" s="235"/>
      <c r="B706" s="230" t="s">
        <v>1032</v>
      </c>
      <c r="C706" s="229">
        <v>574.15</v>
      </c>
      <c r="D706" s="229">
        <v>461.03352</v>
      </c>
      <c r="E706" s="229">
        <v>461.03352</v>
      </c>
      <c r="F706" s="229"/>
      <c r="G706" s="229"/>
      <c r="H706" s="229">
        <v>113.11648</v>
      </c>
      <c r="I706" s="229">
        <v>113.11648</v>
      </c>
      <c r="J706" s="229"/>
      <c r="K706" s="229"/>
      <c r="L706" s="229"/>
      <c r="M706" s="229"/>
      <c r="N706" s="232"/>
    </row>
    <row r="707" hidden="1" spans="1:14">
      <c r="A707" s="235"/>
      <c r="B707" s="230" t="s">
        <v>1030</v>
      </c>
      <c r="C707" s="229">
        <v>4</v>
      </c>
      <c r="D707" s="229"/>
      <c r="E707" s="229"/>
      <c r="F707" s="229"/>
      <c r="G707" s="229"/>
      <c r="H707" s="229">
        <v>4</v>
      </c>
      <c r="I707" s="229">
        <v>4</v>
      </c>
      <c r="J707" s="229"/>
      <c r="K707" s="229"/>
      <c r="L707" s="229"/>
      <c r="M707" s="229"/>
      <c r="N707" s="232"/>
    </row>
    <row r="708" spans="1:14">
      <c r="A708" s="227" t="s">
        <v>1070</v>
      </c>
      <c r="B708" s="231" t="s">
        <v>683</v>
      </c>
      <c r="C708" s="229">
        <v>928.39</v>
      </c>
      <c r="D708" s="229">
        <v>421.160813</v>
      </c>
      <c r="E708" s="229">
        <v>421.160813</v>
      </c>
      <c r="F708" s="229"/>
      <c r="G708" s="229"/>
      <c r="H708" s="229">
        <v>507.229187</v>
      </c>
      <c r="I708" s="229">
        <v>507.229187</v>
      </c>
      <c r="J708" s="229"/>
      <c r="K708" s="229"/>
      <c r="L708" s="229"/>
      <c r="M708" s="229"/>
      <c r="N708" s="233" t="s">
        <v>578</v>
      </c>
    </row>
    <row r="709" hidden="1" spans="1:14">
      <c r="A709" s="235"/>
      <c r="B709" s="230" t="s">
        <v>1032</v>
      </c>
      <c r="C709" s="229">
        <v>437.281907</v>
      </c>
      <c r="D709" s="229">
        <v>336.40272</v>
      </c>
      <c r="E709" s="229">
        <v>336.40272</v>
      </c>
      <c r="F709" s="229"/>
      <c r="G709" s="229"/>
      <c r="H709" s="229">
        <v>100.879187</v>
      </c>
      <c r="I709" s="229">
        <v>100.879187</v>
      </c>
      <c r="J709" s="229"/>
      <c r="K709" s="229"/>
      <c r="L709" s="229"/>
      <c r="M709" s="229"/>
      <c r="N709" s="232"/>
    </row>
    <row r="710" hidden="1" spans="1:14">
      <c r="A710" s="235"/>
      <c r="B710" s="230" t="s">
        <v>1064</v>
      </c>
      <c r="C710" s="229">
        <v>30</v>
      </c>
      <c r="D710" s="229">
        <v>18</v>
      </c>
      <c r="E710" s="229">
        <v>18</v>
      </c>
      <c r="F710" s="229"/>
      <c r="G710" s="229"/>
      <c r="H710" s="229">
        <v>12</v>
      </c>
      <c r="I710" s="229">
        <v>12</v>
      </c>
      <c r="J710" s="229"/>
      <c r="K710" s="229"/>
      <c r="L710" s="229"/>
      <c r="M710" s="229"/>
      <c r="N710" s="232"/>
    </row>
    <row r="711" hidden="1" spans="1:14">
      <c r="A711" s="235"/>
      <c r="B711" s="230" t="s">
        <v>1039</v>
      </c>
      <c r="C711" s="229">
        <v>8.75</v>
      </c>
      <c r="D711" s="229"/>
      <c r="E711" s="229"/>
      <c r="F711" s="229"/>
      <c r="G711" s="229"/>
      <c r="H711" s="229">
        <v>8.75</v>
      </c>
      <c r="I711" s="229">
        <v>8.75</v>
      </c>
      <c r="J711" s="229"/>
      <c r="K711" s="229"/>
      <c r="L711" s="229"/>
      <c r="M711" s="229"/>
      <c r="N711" s="232"/>
    </row>
    <row r="712" hidden="1" spans="1:14">
      <c r="A712" s="235"/>
      <c r="B712" s="230" t="s">
        <v>1035</v>
      </c>
      <c r="C712" s="229">
        <v>3.85</v>
      </c>
      <c r="D712" s="229"/>
      <c r="E712" s="229"/>
      <c r="F712" s="229"/>
      <c r="G712" s="229"/>
      <c r="H712" s="229">
        <v>3.85</v>
      </c>
      <c r="I712" s="229">
        <v>3.85</v>
      </c>
      <c r="J712" s="229"/>
      <c r="K712" s="229"/>
      <c r="L712" s="229"/>
      <c r="M712" s="229"/>
      <c r="N712" s="232"/>
    </row>
    <row r="713" hidden="1" spans="1:14">
      <c r="A713" s="235"/>
      <c r="B713" s="230" t="s">
        <v>1029</v>
      </c>
      <c r="C713" s="229">
        <v>149.43</v>
      </c>
      <c r="D713" s="229"/>
      <c r="E713" s="229"/>
      <c r="F713" s="229"/>
      <c r="G713" s="229"/>
      <c r="H713" s="229">
        <v>149.43</v>
      </c>
      <c r="I713" s="229">
        <v>149.43</v>
      </c>
      <c r="J713" s="229"/>
      <c r="K713" s="229"/>
      <c r="L713" s="229"/>
      <c r="M713" s="229"/>
      <c r="N713" s="232"/>
    </row>
    <row r="714" hidden="1" spans="1:14">
      <c r="A714" s="235"/>
      <c r="B714" s="230" t="s">
        <v>1036</v>
      </c>
      <c r="C714" s="229">
        <v>52.47</v>
      </c>
      <c r="D714" s="229"/>
      <c r="E714" s="229"/>
      <c r="F714" s="229"/>
      <c r="G714" s="229"/>
      <c r="H714" s="229">
        <v>52.47</v>
      </c>
      <c r="I714" s="229">
        <v>52.47</v>
      </c>
      <c r="J714" s="229"/>
      <c r="K714" s="229"/>
      <c r="L714" s="229"/>
      <c r="M714" s="229"/>
      <c r="N714" s="232"/>
    </row>
    <row r="715" hidden="1" spans="1:14">
      <c r="A715" s="235"/>
      <c r="B715" s="230" t="s">
        <v>1034</v>
      </c>
      <c r="C715" s="229">
        <v>15.2</v>
      </c>
      <c r="D715" s="229"/>
      <c r="E715" s="229"/>
      <c r="F715" s="229"/>
      <c r="G715" s="229"/>
      <c r="H715" s="229">
        <v>15.2</v>
      </c>
      <c r="I715" s="229">
        <v>15.2</v>
      </c>
      <c r="J715" s="229"/>
      <c r="K715" s="229"/>
      <c r="L715" s="229"/>
      <c r="M715" s="229"/>
      <c r="N715" s="232"/>
    </row>
    <row r="716" hidden="1" spans="1:14">
      <c r="A716" s="235"/>
      <c r="B716" s="230" t="s">
        <v>1033</v>
      </c>
      <c r="C716" s="229">
        <v>231.408093</v>
      </c>
      <c r="D716" s="229">
        <v>66.758093</v>
      </c>
      <c r="E716" s="229">
        <v>66.758093</v>
      </c>
      <c r="F716" s="229"/>
      <c r="G716" s="229"/>
      <c r="H716" s="229">
        <v>164.65</v>
      </c>
      <c r="I716" s="229">
        <v>164.65</v>
      </c>
      <c r="J716" s="229"/>
      <c r="K716" s="229"/>
      <c r="L716" s="229"/>
      <c r="M716" s="229"/>
      <c r="N716" s="232"/>
    </row>
    <row r="717" spans="1:14">
      <c r="A717" s="227" t="s">
        <v>1071</v>
      </c>
      <c r="B717" s="231" t="s">
        <v>684</v>
      </c>
      <c r="C717" s="229">
        <v>1612.4</v>
      </c>
      <c r="D717" s="229">
        <v>717.319034</v>
      </c>
      <c r="E717" s="229">
        <v>717.319034</v>
      </c>
      <c r="F717" s="229"/>
      <c r="G717" s="229"/>
      <c r="H717" s="229">
        <v>895.080966</v>
      </c>
      <c r="I717" s="229">
        <v>895.080966</v>
      </c>
      <c r="J717" s="229"/>
      <c r="K717" s="229"/>
      <c r="L717" s="229"/>
      <c r="M717" s="229"/>
      <c r="N717" s="233" t="s">
        <v>578</v>
      </c>
    </row>
    <row r="718" hidden="1" spans="1:14">
      <c r="A718" s="235"/>
      <c r="B718" s="230" t="s">
        <v>1039</v>
      </c>
      <c r="C718" s="229">
        <v>14.96</v>
      </c>
      <c r="D718" s="229"/>
      <c r="E718" s="229"/>
      <c r="F718" s="229"/>
      <c r="G718" s="229"/>
      <c r="H718" s="229">
        <v>14.96</v>
      </c>
      <c r="I718" s="229">
        <v>14.96</v>
      </c>
      <c r="J718" s="229"/>
      <c r="K718" s="229"/>
      <c r="L718" s="229"/>
      <c r="M718" s="229"/>
      <c r="N718" s="232"/>
    </row>
    <row r="719" hidden="1" spans="1:14">
      <c r="A719" s="235"/>
      <c r="B719" s="230" t="s">
        <v>1035</v>
      </c>
      <c r="C719" s="229">
        <v>6.16</v>
      </c>
      <c r="D719" s="229"/>
      <c r="E719" s="229"/>
      <c r="F719" s="229"/>
      <c r="G719" s="229"/>
      <c r="H719" s="229">
        <v>6.16</v>
      </c>
      <c r="I719" s="229">
        <v>6.16</v>
      </c>
      <c r="J719" s="229"/>
      <c r="K719" s="229"/>
      <c r="L719" s="229"/>
      <c r="M719" s="229"/>
      <c r="N719" s="232"/>
    </row>
    <row r="720" hidden="1" spans="1:14">
      <c r="A720" s="235"/>
      <c r="B720" s="230" t="s">
        <v>1036</v>
      </c>
      <c r="C720" s="229">
        <v>89.75</v>
      </c>
      <c r="D720" s="229"/>
      <c r="E720" s="229"/>
      <c r="F720" s="229"/>
      <c r="G720" s="229"/>
      <c r="H720" s="229">
        <v>89.75</v>
      </c>
      <c r="I720" s="229">
        <v>89.75</v>
      </c>
      <c r="J720" s="229"/>
      <c r="K720" s="229"/>
      <c r="L720" s="229"/>
      <c r="M720" s="229"/>
      <c r="N720" s="232"/>
    </row>
    <row r="721" hidden="1" spans="1:14">
      <c r="A721" s="235"/>
      <c r="B721" s="230" t="s">
        <v>1034</v>
      </c>
      <c r="C721" s="229">
        <v>33.03</v>
      </c>
      <c r="D721" s="229"/>
      <c r="E721" s="229"/>
      <c r="F721" s="229"/>
      <c r="G721" s="229"/>
      <c r="H721" s="229">
        <v>33.03</v>
      </c>
      <c r="I721" s="229">
        <v>33.03</v>
      </c>
      <c r="J721" s="229"/>
      <c r="K721" s="229"/>
      <c r="L721" s="229"/>
      <c r="M721" s="229"/>
      <c r="N721" s="232"/>
    </row>
    <row r="722" hidden="1" spans="1:14">
      <c r="A722" s="235"/>
      <c r="B722" s="230" t="s">
        <v>1064</v>
      </c>
      <c r="C722" s="229">
        <v>47.4</v>
      </c>
      <c r="D722" s="229">
        <v>22</v>
      </c>
      <c r="E722" s="229">
        <v>22</v>
      </c>
      <c r="F722" s="229"/>
      <c r="G722" s="229"/>
      <c r="H722" s="229">
        <v>25.4</v>
      </c>
      <c r="I722" s="229">
        <v>25.4</v>
      </c>
      <c r="J722" s="229"/>
      <c r="K722" s="229"/>
      <c r="L722" s="229"/>
      <c r="M722" s="229"/>
      <c r="N722" s="232"/>
    </row>
    <row r="723" hidden="1" spans="1:14">
      <c r="A723" s="235"/>
      <c r="B723" s="230" t="s">
        <v>1033</v>
      </c>
      <c r="C723" s="229">
        <v>417.845914</v>
      </c>
      <c r="D723" s="229">
        <v>108.365914</v>
      </c>
      <c r="E723" s="229">
        <v>108.365914</v>
      </c>
      <c r="F723" s="229"/>
      <c r="G723" s="229"/>
      <c r="H723" s="229">
        <v>309.48</v>
      </c>
      <c r="I723" s="229">
        <v>309.48</v>
      </c>
      <c r="J723" s="229"/>
      <c r="K723" s="229"/>
      <c r="L723" s="229"/>
      <c r="M723" s="229"/>
      <c r="N723" s="232"/>
    </row>
    <row r="724" hidden="1" spans="1:14">
      <c r="A724" s="235"/>
      <c r="B724" s="230" t="s">
        <v>1032</v>
      </c>
      <c r="C724" s="229">
        <v>747.91312</v>
      </c>
      <c r="D724" s="229">
        <v>586.95312</v>
      </c>
      <c r="E724" s="229">
        <v>586.95312</v>
      </c>
      <c r="F724" s="229"/>
      <c r="G724" s="229"/>
      <c r="H724" s="229">
        <v>160.96</v>
      </c>
      <c r="I724" s="229">
        <v>160.96</v>
      </c>
      <c r="J724" s="229"/>
      <c r="K724" s="229"/>
      <c r="L724" s="229"/>
      <c r="M724" s="229"/>
      <c r="N724" s="232"/>
    </row>
    <row r="725" hidden="1" spans="1:14">
      <c r="A725" s="235"/>
      <c r="B725" s="230" t="s">
        <v>1029</v>
      </c>
      <c r="C725" s="229">
        <v>255.340966</v>
      </c>
      <c r="D725" s="229"/>
      <c r="E725" s="229"/>
      <c r="F725" s="229"/>
      <c r="G725" s="229"/>
      <c r="H725" s="229">
        <v>255.340966</v>
      </c>
      <c r="I725" s="229">
        <v>255.340966</v>
      </c>
      <c r="J725" s="229"/>
      <c r="K725" s="229"/>
      <c r="L725" s="229"/>
      <c r="M725" s="229"/>
      <c r="N725" s="232"/>
    </row>
    <row r="726" spans="1:14">
      <c r="A726" s="227" t="s">
        <v>1072</v>
      </c>
      <c r="B726" s="231" t="s">
        <v>685</v>
      </c>
      <c r="C726" s="229">
        <v>1353.1464</v>
      </c>
      <c r="D726" s="229">
        <v>636.014182</v>
      </c>
      <c r="E726" s="229">
        <v>636.014182</v>
      </c>
      <c r="F726" s="229"/>
      <c r="G726" s="229"/>
      <c r="H726" s="229">
        <v>717.132218</v>
      </c>
      <c r="I726" s="229">
        <v>717.132218</v>
      </c>
      <c r="J726" s="229"/>
      <c r="K726" s="229"/>
      <c r="L726" s="229"/>
      <c r="M726" s="229"/>
      <c r="N726" s="233" t="s">
        <v>578</v>
      </c>
    </row>
    <row r="727" hidden="1" spans="1:14">
      <c r="A727" s="235"/>
      <c r="B727" s="230" t="s">
        <v>1032</v>
      </c>
      <c r="C727" s="229">
        <v>657.9364</v>
      </c>
      <c r="D727" s="229">
        <v>519.58608</v>
      </c>
      <c r="E727" s="229">
        <v>519.58608</v>
      </c>
      <c r="F727" s="229"/>
      <c r="G727" s="229"/>
      <c r="H727" s="229">
        <v>138.35032</v>
      </c>
      <c r="I727" s="229">
        <v>138.35032</v>
      </c>
      <c r="J727" s="229"/>
      <c r="K727" s="229"/>
      <c r="L727" s="229"/>
      <c r="M727" s="229"/>
      <c r="N727" s="232"/>
    </row>
    <row r="728" hidden="1" spans="1:14">
      <c r="A728" s="235"/>
      <c r="B728" s="230" t="s">
        <v>1029</v>
      </c>
      <c r="C728" s="229">
        <v>127.5</v>
      </c>
      <c r="D728" s="229"/>
      <c r="E728" s="229"/>
      <c r="F728" s="229"/>
      <c r="G728" s="229"/>
      <c r="H728" s="229">
        <v>127.5</v>
      </c>
      <c r="I728" s="229">
        <v>127.5</v>
      </c>
      <c r="J728" s="229"/>
      <c r="K728" s="229"/>
      <c r="L728" s="229"/>
      <c r="M728" s="229"/>
      <c r="N728" s="232"/>
    </row>
    <row r="729" hidden="1" spans="1:14">
      <c r="A729" s="235"/>
      <c r="B729" s="230" t="s">
        <v>1039</v>
      </c>
      <c r="C729" s="229">
        <v>29.61</v>
      </c>
      <c r="D729" s="229"/>
      <c r="E729" s="229"/>
      <c r="F729" s="229"/>
      <c r="G729" s="229"/>
      <c r="H729" s="229">
        <v>29.61</v>
      </c>
      <c r="I729" s="229">
        <v>29.61</v>
      </c>
      <c r="J729" s="229"/>
      <c r="K729" s="229"/>
      <c r="L729" s="229"/>
      <c r="M729" s="229"/>
      <c r="N729" s="232"/>
    </row>
    <row r="730" hidden="1" spans="1:14">
      <c r="A730" s="227"/>
      <c r="B730" s="231" t="s">
        <v>1035</v>
      </c>
      <c r="C730" s="229">
        <v>6.49</v>
      </c>
      <c r="D730" s="229"/>
      <c r="E730" s="229"/>
      <c r="F730" s="229"/>
      <c r="G730" s="229"/>
      <c r="H730" s="229">
        <v>6.49</v>
      </c>
      <c r="I730" s="229">
        <v>6.49</v>
      </c>
      <c r="J730" s="229"/>
      <c r="K730" s="229"/>
      <c r="L730" s="229"/>
      <c r="M730" s="229"/>
      <c r="N730" s="233"/>
    </row>
    <row r="731" hidden="1" spans="1:14">
      <c r="A731" s="227"/>
      <c r="B731" s="231" t="s">
        <v>1036</v>
      </c>
      <c r="C731" s="229">
        <v>78.95</v>
      </c>
      <c r="D731" s="229"/>
      <c r="E731" s="229"/>
      <c r="F731" s="229"/>
      <c r="G731" s="229"/>
      <c r="H731" s="229">
        <v>78.95</v>
      </c>
      <c r="I731" s="229">
        <v>78.95</v>
      </c>
      <c r="J731" s="229"/>
      <c r="K731" s="229"/>
      <c r="L731" s="229"/>
      <c r="M731" s="229"/>
      <c r="N731" s="233"/>
    </row>
    <row r="732" hidden="1" spans="1:14">
      <c r="A732" s="227"/>
      <c r="B732" s="231" t="s">
        <v>1064</v>
      </c>
      <c r="C732" s="229">
        <v>45</v>
      </c>
      <c r="D732" s="229">
        <v>20</v>
      </c>
      <c r="E732" s="229">
        <v>20</v>
      </c>
      <c r="F732" s="229"/>
      <c r="G732" s="229"/>
      <c r="H732" s="229">
        <v>25</v>
      </c>
      <c r="I732" s="229">
        <v>25</v>
      </c>
      <c r="J732" s="229"/>
      <c r="K732" s="229"/>
      <c r="L732" s="229"/>
      <c r="M732" s="229"/>
      <c r="N732" s="233"/>
    </row>
    <row r="733" hidden="1" spans="1:14">
      <c r="A733" s="227"/>
      <c r="B733" s="231" t="s">
        <v>1034</v>
      </c>
      <c r="C733" s="229">
        <v>21.38</v>
      </c>
      <c r="D733" s="229"/>
      <c r="E733" s="229"/>
      <c r="F733" s="229"/>
      <c r="G733" s="229"/>
      <c r="H733" s="229">
        <v>21.38</v>
      </c>
      <c r="I733" s="229">
        <v>21.38</v>
      </c>
      <c r="J733" s="229"/>
      <c r="K733" s="229"/>
      <c r="L733" s="229"/>
      <c r="M733" s="229"/>
      <c r="N733" s="233"/>
    </row>
    <row r="734" hidden="1" spans="1:14">
      <c r="A734" s="227"/>
      <c r="B734" s="231" t="s">
        <v>1033</v>
      </c>
      <c r="C734" s="229">
        <v>386.28</v>
      </c>
      <c r="D734" s="229">
        <v>96.428102</v>
      </c>
      <c r="E734" s="229">
        <v>96.428102</v>
      </c>
      <c r="F734" s="229"/>
      <c r="G734" s="229"/>
      <c r="H734" s="229">
        <v>289.851898</v>
      </c>
      <c r="I734" s="229">
        <v>289.851898</v>
      </c>
      <c r="J734" s="229"/>
      <c r="K734" s="229"/>
      <c r="L734" s="229"/>
      <c r="M734" s="229"/>
      <c r="N734" s="233"/>
    </row>
    <row r="735" spans="1:14">
      <c r="A735" s="227" t="s">
        <v>1073</v>
      </c>
      <c r="B735" s="231" t="s">
        <v>686</v>
      </c>
      <c r="C735" s="229">
        <v>905.01514</v>
      </c>
      <c r="D735" s="229">
        <v>417.223786</v>
      </c>
      <c r="E735" s="229">
        <v>417.223786</v>
      </c>
      <c r="F735" s="229"/>
      <c r="G735" s="229"/>
      <c r="H735" s="229">
        <v>487.791354</v>
      </c>
      <c r="I735" s="229">
        <v>487.791354</v>
      </c>
      <c r="J735" s="229"/>
      <c r="K735" s="229"/>
      <c r="L735" s="229"/>
      <c r="M735" s="229"/>
      <c r="N735" s="233" t="s">
        <v>578</v>
      </c>
    </row>
    <row r="736" hidden="1" spans="1:14">
      <c r="A736" s="235"/>
      <c r="B736" s="230" t="s">
        <v>1064</v>
      </c>
      <c r="C736" s="229">
        <v>16.1</v>
      </c>
      <c r="D736" s="229">
        <v>12</v>
      </c>
      <c r="E736" s="229">
        <v>12</v>
      </c>
      <c r="F736" s="229"/>
      <c r="G736" s="229"/>
      <c r="H736" s="229">
        <v>4.1</v>
      </c>
      <c r="I736" s="229">
        <v>4.1</v>
      </c>
      <c r="J736" s="229"/>
      <c r="K736" s="229"/>
      <c r="L736" s="229"/>
      <c r="M736" s="229"/>
      <c r="N736" s="232"/>
    </row>
    <row r="737" hidden="1" spans="1:14">
      <c r="A737" s="235"/>
      <c r="B737" s="230" t="s">
        <v>1029</v>
      </c>
      <c r="C737" s="229">
        <v>160.31204</v>
      </c>
      <c r="D737" s="229"/>
      <c r="E737" s="229"/>
      <c r="F737" s="229"/>
      <c r="G737" s="229"/>
      <c r="H737" s="229">
        <v>160.31204</v>
      </c>
      <c r="I737" s="229">
        <v>160.31204</v>
      </c>
      <c r="J737" s="229"/>
      <c r="K737" s="229"/>
      <c r="L737" s="229"/>
      <c r="M737" s="229"/>
      <c r="N737" s="232"/>
    </row>
    <row r="738" hidden="1" spans="1:14">
      <c r="A738" s="235"/>
      <c r="B738" s="230" t="s">
        <v>1034</v>
      </c>
      <c r="C738" s="229">
        <v>13.49</v>
      </c>
      <c r="D738" s="229"/>
      <c r="E738" s="229"/>
      <c r="F738" s="229"/>
      <c r="G738" s="229"/>
      <c r="H738" s="229">
        <v>13.49</v>
      </c>
      <c r="I738" s="229">
        <v>13.49</v>
      </c>
      <c r="J738" s="229"/>
      <c r="K738" s="229"/>
      <c r="L738" s="229"/>
      <c r="M738" s="229"/>
      <c r="N738" s="232"/>
    </row>
    <row r="739" hidden="1" spans="1:14">
      <c r="A739" s="235"/>
      <c r="B739" s="230" t="s">
        <v>1036</v>
      </c>
      <c r="C739" s="229">
        <v>52.53</v>
      </c>
      <c r="D739" s="229"/>
      <c r="E739" s="229"/>
      <c r="F739" s="229"/>
      <c r="G739" s="229"/>
      <c r="H739" s="229">
        <v>52.53</v>
      </c>
      <c r="I739" s="229">
        <v>52.53</v>
      </c>
      <c r="J739" s="229"/>
      <c r="K739" s="229"/>
      <c r="L739" s="229"/>
      <c r="M739" s="229"/>
      <c r="N739" s="232"/>
    </row>
    <row r="740" hidden="1" spans="1:14">
      <c r="A740" s="235"/>
      <c r="B740" s="230" t="s">
        <v>1030</v>
      </c>
      <c r="C740" s="229">
        <v>4</v>
      </c>
      <c r="D740" s="229"/>
      <c r="E740" s="229"/>
      <c r="F740" s="229"/>
      <c r="G740" s="229"/>
      <c r="H740" s="229">
        <v>4</v>
      </c>
      <c r="I740" s="229">
        <v>4</v>
      </c>
      <c r="J740" s="229"/>
      <c r="K740" s="229"/>
      <c r="L740" s="229"/>
      <c r="M740" s="229"/>
      <c r="N740" s="232"/>
    </row>
    <row r="741" hidden="1" spans="1:14">
      <c r="A741" s="235"/>
      <c r="B741" s="230" t="s">
        <v>1033</v>
      </c>
      <c r="C741" s="229">
        <v>221.33578</v>
      </c>
      <c r="D741" s="229">
        <v>63.067066</v>
      </c>
      <c r="E741" s="229">
        <v>63.067066</v>
      </c>
      <c r="F741" s="229"/>
      <c r="G741" s="229"/>
      <c r="H741" s="229">
        <v>158.268714</v>
      </c>
      <c r="I741" s="229">
        <v>158.268714</v>
      </c>
      <c r="J741" s="229"/>
      <c r="K741" s="229"/>
      <c r="L741" s="229"/>
      <c r="M741" s="229"/>
      <c r="N741" s="232"/>
    </row>
    <row r="742" hidden="1" spans="1:14">
      <c r="A742" s="235"/>
      <c r="B742" s="230" t="s">
        <v>1032</v>
      </c>
      <c r="C742" s="229">
        <v>428.48732</v>
      </c>
      <c r="D742" s="229">
        <v>342.15672</v>
      </c>
      <c r="E742" s="229">
        <v>342.15672</v>
      </c>
      <c r="F742" s="229"/>
      <c r="G742" s="229"/>
      <c r="H742" s="229">
        <v>86.3306</v>
      </c>
      <c r="I742" s="229">
        <v>86.3306</v>
      </c>
      <c r="J742" s="229"/>
      <c r="K742" s="229"/>
      <c r="L742" s="229"/>
      <c r="M742" s="229"/>
      <c r="N742" s="232"/>
    </row>
    <row r="743" hidden="1" spans="1:14">
      <c r="A743" s="235"/>
      <c r="B743" s="230" t="s">
        <v>1039</v>
      </c>
      <c r="C743" s="229">
        <v>8.76</v>
      </c>
      <c r="D743" s="229"/>
      <c r="E743" s="229"/>
      <c r="F743" s="229"/>
      <c r="G743" s="229"/>
      <c r="H743" s="229">
        <v>8.76</v>
      </c>
      <c r="I743" s="229">
        <v>8.76</v>
      </c>
      <c r="J743" s="229"/>
      <c r="K743" s="229"/>
      <c r="L743" s="229"/>
      <c r="M743" s="229"/>
      <c r="N743" s="232"/>
    </row>
    <row r="744" spans="1:14">
      <c r="A744" s="227" t="s">
        <v>1074</v>
      </c>
      <c r="B744" s="231" t="s">
        <v>687</v>
      </c>
      <c r="C744" s="229">
        <v>945.93</v>
      </c>
      <c r="D744" s="229">
        <v>448.758538</v>
      </c>
      <c r="E744" s="229">
        <v>448.758538</v>
      </c>
      <c r="F744" s="229"/>
      <c r="G744" s="229"/>
      <c r="H744" s="229">
        <v>497.171462</v>
      </c>
      <c r="I744" s="229">
        <v>497.171462</v>
      </c>
      <c r="J744" s="229"/>
      <c r="K744" s="229"/>
      <c r="L744" s="229"/>
      <c r="M744" s="229"/>
      <c r="N744" s="233" t="s">
        <v>578</v>
      </c>
    </row>
    <row r="745" hidden="1" spans="1:14">
      <c r="A745" s="235"/>
      <c r="B745" s="230" t="s">
        <v>1032</v>
      </c>
      <c r="C745" s="229">
        <v>469.0684</v>
      </c>
      <c r="D745" s="229">
        <v>364.34568</v>
      </c>
      <c r="E745" s="229">
        <v>364.34568</v>
      </c>
      <c r="F745" s="229"/>
      <c r="G745" s="229"/>
      <c r="H745" s="229">
        <v>104.72272</v>
      </c>
      <c r="I745" s="229">
        <v>104.72272</v>
      </c>
      <c r="J745" s="229"/>
      <c r="K745" s="229"/>
      <c r="L745" s="229"/>
      <c r="M745" s="229"/>
      <c r="N745" s="232"/>
    </row>
    <row r="746" hidden="1" spans="1:14">
      <c r="A746" s="235"/>
      <c r="B746" s="230" t="s">
        <v>1033</v>
      </c>
      <c r="C746" s="229">
        <v>260.29</v>
      </c>
      <c r="D746" s="229">
        <v>69.088858</v>
      </c>
      <c r="E746" s="229">
        <v>69.088858</v>
      </c>
      <c r="F746" s="229"/>
      <c r="G746" s="229"/>
      <c r="H746" s="229">
        <v>191.201142</v>
      </c>
      <c r="I746" s="229">
        <v>191.201142</v>
      </c>
      <c r="J746" s="229"/>
      <c r="K746" s="229"/>
      <c r="L746" s="229"/>
      <c r="M746" s="229"/>
      <c r="N746" s="232"/>
    </row>
    <row r="747" hidden="1" spans="1:14">
      <c r="A747" s="235"/>
      <c r="B747" s="230" t="s">
        <v>1029</v>
      </c>
      <c r="C747" s="229">
        <v>114.3276</v>
      </c>
      <c r="D747" s="229"/>
      <c r="E747" s="229"/>
      <c r="F747" s="229"/>
      <c r="G747" s="229"/>
      <c r="H747" s="229">
        <v>114.3276</v>
      </c>
      <c r="I747" s="229">
        <v>114.3276</v>
      </c>
      <c r="J747" s="229"/>
      <c r="K747" s="229"/>
      <c r="L747" s="229"/>
      <c r="M747" s="229"/>
      <c r="N747" s="232"/>
    </row>
    <row r="748" hidden="1" spans="1:14">
      <c r="A748" s="235"/>
      <c r="B748" s="230" t="s">
        <v>1030</v>
      </c>
      <c r="C748" s="229">
        <v>4</v>
      </c>
      <c r="D748" s="229"/>
      <c r="E748" s="229"/>
      <c r="F748" s="229"/>
      <c r="G748" s="229"/>
      <c r="H748" s="229">
        <v>4</v>
      </c>
      <c r="I748" s="229">
        <v>4</v>
      </c>
      <c r="J748" s="229"/>
      <c r="K748" s="229"/>
      <c r="L748" s="229"/>
      <c r="M748" s="229"/>
      <c r="N748" s="232"/>
    </row>
    <row r="749" hidden="1" spans="1:14">
      <c r="A749" s="235"/>
      <c r="B749" s="230" t="s">
        <v>1037</v>
      </c>
      <c r="C749" s="229">
        <v>0.324</v>
      </c>
      <c r="D749" s="229">
        <v>0.324</v>
      </c>
      <c r="E749" s="229">
        <v>0.324</v>
      </c>
      <c r="F749" s="229"/>
      <c r="G749" s="229"/>
      <c r="H749" s="229"/>
      <c r="I749" s="229"/>
      <c r="J749" s="229"/>
      <c r="K749" s="229"/>
      <c r="L749" s="229"/>
      <c r="M749" s="229"/>
      <c r="N749" s="232"/>
    </row>
    <row r="750" hidden="1" spans="1:14">
      <c r="A750" s="235"/>
      <c r="B750" s="230" t="s">
        <v>1034</v>
      </c>
      <c r="C750" s="229">
        <v>13.18</v>
      </c>
      <c r="D750" s="229"/>
      <c r="E750" s="229"/>
      <c r="F750" s="229"/>
      <c r="G750" s="229"/>
      <c r="H750" s="229">
        <v>13.18</v>
      </c>
      <c r="I750" s="229">
        <v>13.18</v>
      </c>
      <c r="J750" s="229"/>
      <c r="K750" s="229"/>
      <c r="L750" s="229"/>
      <c r="M750" s="229"/>
      <c r="N750" s="232"/>
    </row>
    <row r="751" hidden="1" spans="1:14">
      <c r="A751" s="235"/>
      <c r="B751" s="230" t="s">
        <v>1039</v>
      </c>
      <c r="C751" s="229">
        <v>9.38</v>
      </c>
      <c r="D751" s="229"/>
      <c r="E751" s="229"/>
      <c r="F751" s="229"/>
      <c r="G751" s="229"/>
      <c r="H751" s="229">
        <v>9.38</v>
      </c>
      <c r="I751" s="229">
        <v>9.38</v>
      </c>
      <c r="J751" s="229"/>
      <c r="K751" s="229"/>
      <c r="L751" s="229"/>
      <c r="M751" s="229"/>
      <c r="N751" s="232"/>
    </row>
    <row r="752" hidden="1" spans="1:14">
      <c r="A752" s="235"/>
      <c r="B752" s="230" t="s">
        <v>1064</v>
      </c>
      <c r="C752" s="229">
        <v>15</v>
      </c>
      <c r="D752" s="229">
        <v>15</v>
      </c>
      <c r="E752" s="229">
        <v>15</v>
      </c>
      <c r="F752" s="229"/>
      <c r="G752" s="229"/>
      <c r="H752" s="229"/>
      <c r="I752" s="229"/>
      <c r="J752" s="229"/>
      <c r="K752" s="229"/>
      <c r="L752" s="229"/>
      <c r="M752" s="229"/>
      <c r="N752" s="232"/>
    </row>
    <row r="753" hidden="1" spans="1:14">
      <c r="A753" s="235"/>
      <c r="B753" s="230" t="s">
        <v>1036</v>
      </c>
      <c r="C753" s="229">
        <v>56.29</v>
      </c>
      <c r="D753" s="229"/>
      <c r="E753" s="229"/>
      <c r="F753" s="229"/>
      <c r="G753" s="229"/>
      <c r="H753" s="229">
        <v>56.29</v>
      </c>
      <c r="I753" s="229">
        <v>56.29</v>
      </c>
      <c r="J753" s="229"/>
      <c r="K753" s="229"/>
      <c r="L753" s="229"/>
      <c r="M753" s="229"/>
      <c r="N753" s="232"/>
    </row>
    <row r="754" hidden="1" spans="1:14">
      <c r="A754" s="235"/>
      <c r="B754" s="230" t="s">
        <v>1035</v>
      </c>
      <c r="C754" s="229">
        <v>4.07</v>
      </c>
      <c r="D754" s="229"/>
      <c r="E754" s="229"/>
      <c r="F754" s="229"/>
      <c r="G754" s="229"/>
      <c r="H754" s="229">
        <v>4.07</v>
      </c>
      <c r="I754" s="229">
        <v>4.07</v>
      </c>
      <c r="J754" s="229"/>
      <c r="K754" s="229"/>
      <c r="L754" s="229"/>
      <c r="M754" s="229"/>
      <c r="N754" s="232"/>
    </row>
    <row r="755" spans="1:14">
      <c r="A755" s="227" t="s">
        <v>1075</v>
      </c>
      <c r="B755" s="231" t="s">
        <v>688</v>
      </c>
      <c r="C755" s="229">
        <v>1066.57935</v>
      </c>
      <c r="D755" s="229">
        <v>377.67</v>
      </c>
      <c r="E755" s="229">
        <v>377.67</v>
      </c>
      <c r="F755" s="229"/>
      <c r="G755" s="229"/>
      <c r="H755" s="229">
        <v>688.90935</v>
      </c>
      <c r="I755" s="229">
        <v>688.90935</v>
      </c>
      <c r="J755" s="229"/>
      <c r="K755" s="229"/>
      <c r="L755" s="229"/>
      <c r="M755" s="229"/>
      <c r="N755" s="233" t="s">
        <v>578</v>
      </c>
    </row>
    <row r="756" hidden="1" spans="1:14">
      <c r="A756" s="235"/>
      <c r="B756" s="230" t="s">
        <v>1037</v>
      </c>
      <c r="C756" s="229">
        <v>2.97</v>
      </c>
      <c r="D756" s="229"/>
      <c r="E756" s="229"/>
      <c r="F756" s="229"/>
      <c r="G756" s="229"/>
      <c r="H756" s="229">
        <v>2.97</v>
      </c>
      <c r="I756" s="229">
        <v>2.97</v>
      </c>
      <c r="J756" s="229"/>
      <c r="K756" s="229"/>
      <c r="L756" s="229"/>
      <c r="M756" s="229"/>
      <c r="N756" s="232"/>
    </row>
    <row r="757" hidden="1" spans="1:14">
      <c r="A757" s="235"/>
      <c r="B757" s="230" t="s">
        <v>1039</v>
      </c>
      <c r="C757" s="229">
        <v>8.0086</v>
      </c>
      <c r="D757" s="229"/>
      <c r="E757" s="229"/>
      <c r="F757" s="229"/>
      <c r="G757" s="229"/>
      <c r="H757" s="229">
        <v>8.0086</v>
      </c>
      <c r="I757" s="229">
        <v>8.0086</v>
      </c>
      <c r="J757" s="229"/>
      <c r="K757" s="229"/>
      <c r="L757" s="229"/>
      <c r="M757" s="229"/>
      <c r="N757" s="232"/>
    </row>
    <row r="758" hidden="1" spans="1:14">
      <c r="A758" s="235"/>
      <c r="B758" s="230" t="s">
        <v>1035</v>
      </c>
      <c r="C758" s="229">
        <v>3.0302</v>
      </c>
      <c r="D758" s="229"/>
      <c r="E758" s="229"/>
      <c r="F758" s="229"/>
      <c r="G758" s="229"/>
      <c r="H758" s="229">
        <v>3.0302</v>
      </c>
      <c r="I758" s="229">
        <v>3.0302</v>
      </c>
      <c r="J758" s="229"/>
      <c r="K758" s="229"/>
      <c r="L758" s="229"/>
      <c r="M758" s="229"/>
      <c r="N758" s="232"/>
    </row>
    <row r="759" hidden="1" spans="1:14">
      <c r="A759" s="235"/>
      <c r="B759" s="230" t="s">
        <v>1034</v>
      </c>
      <c r="C759" s="229">
        <v>4.056</v>
      </c>
      <c r="D759" s="229"/>
      <c r="E759" s="229"/>
      <c r="F759" s="229"/>
      <c r="G759" s="229"/>
      <c r="H759" s="229">
        <v>4.056</v>
      </c>
      <c r="I759" s="229">
        <v>4.056</v>
      </c>
      <c r="J759" s="229"/>
      <c r="K759" s="229"/>
      <c r="L759" s="229"/>
      <c r="M759" s="229"/>
      <c r="N759" s="232"/>
    </row>
    <row r="760" hidden="1" spans="1:14">
      <c r="A760" s="235"/>
      <c r="B760" s="230" t="s">
        <v>1030</v>
      </c>
      <c r="C760" s="229">
        <v>4</v>
      </c>
      <c r="D760" s="229"/>
      <c r="E760" s="229"/>
      <c r="F760" s="229"/>
      <c r="G760" s="229"/>
      <c r="H760" s="229">
        <v>4</v>
      </c>
      <c r="I760" s="229">
        <v>4</v>
      </c>
      <c r="J760" s="229"/>
      <c r="K760" s="229"/>
      <c r="L760" s="229"/>
      <c r="M760" s="229"/>
      <c r="N760" s="232"/>
    </row>
    <row r="761" hidden="1" spans="1:14">
      <c r="A761" s="235"/>
      <c r="B761" s="230" t="s">
        <v>1036</v>
      </c>
      <c r="C761" s="229">
        <v>48.0404</v>
      </c>
      <c r="D761" s="229"/>
      <c r="E761" s="229"/>
      <c r="F761" s="229"/>
      <c r="G761" s="229"/>
      <c r="H761" s="229">
        <v>48.0404</v>
      </c>
      <c r="I761" s="229">
        <v>48.0404</v>
      </c>
      <c r="J761" s="229"/>
      <c r="K761" s="229"/>
      <c r="L761" s="229"/>
      <c r="M761" s="229"/>
      <c r="N761" s="232"/>
    </row>
    <row r="762" hidden="1" spans="1:14">
      <c r="A762" s="235"/>
      <c r="B762" s="230" t="s">
        <v>1064</v>
      </c>
      <c r="C762" s="229">
        <v>24.1</v>
      </c>
      <c r="D762" s="229">
        <v>13</v>
      </c>
      <c r="E762" s="229">
        <v>13</v>
      </c>
      <c r="F762" s="229"/>
      <c r="G762" s="229"/>
      <c r="H762" s="229">
        <v>11.1</v>
      </c>
      <c r="I762" s="229">
        <v>11.1</v>
      </c>
      <c r="J762" s="229"/>
      <c r="K762" s="229"/>
      <c r="L762" s="229"/>
      <c r="M762" s="229"/>
      <c r="N762" s="232"/>
    </row>
    <row r="763" hidden="1" spans="1:14">
      <c r="A763" s="235"/>
      <c r="B763" s="230" t="s">
        <v>1033</v>
      </c>
      <c r="C763" s="229">
        <v>236.055868</v>
      </c>
      <c r="D763" s="229">
        <v>60.070618</v>
      </c>
      <c r="E763" s="229">
        <v>60.070618</v>
      </c>
      <c r="F763" s="229"/>
      <c r="G763" s="229"/>
      <c r="H763" s="229">
        <v>175.98525</v>
      </c>
      <c r="I763" s="229">
        <v>175.98525</v>
      </c>
      <c r="J763" s="229"/>
      <c r="K763" s="229"/>
      <c r="L763" s="229"/>
      <c r="M763" s="229"/>
      <c r="N763" s="232"/>
    </row>
    <row r="764" hidden="1" spans="1:14">
      <c r="A764" s="235"/>
      <c r="B764" s="230" t="s">
        <v>1032</v>
      </c>
      <c r="C764" s="229">
        <v>406.158282</v>
      </c>
      <c r="D764" s="229">
        <v>304.599382</v>
      </c>
      <c r="E764" s="229">
        <v>304.599382</v>
      </c>
      <c r="F764" s="229"/>
      <c r="G764" s="229"/>
      <c r="H764" s="229">
        <v>101.5589</v>
      </c>
      <c r="I764" s="229">
        <v>101.5589</v>
      </c>
      <c r="J764" s="229"/>
      <c r="K764" s="229"/>
      <c r="L764" s="229"/>
      <c r="M764" s="229"/>
      <c r="N764" s="232"/>
    </row>
    <row r="765" hidden="1" spans="1:14">
      <c r="A765" s="235"/>
      <c r="B765" s="230" t="s">
        <v>1029</v>
      </c>
      <c r="C765" s="229">
        <v>330.16</v>
      </c>
      <c r="D765" s="229"/>
      <c r="E765" s="229"/>
      <c r="F765" s="229"/>
      <c r="G765" s="229"/>
      <c r="H765" s="229">
        <v>330.16</v>
      </c>
      <c r="I765" s="229">
        <v>330.16</v>
      </c>
      <c r="J765" s="229"/>
      <c r="K765" s="229"/>
      <c r="L765" s="229"/>
      <c r="M765" s="229"/>
      <c r="N765" s="232"/>
    </row>
    <row r="766" spans="1:14">
      <c r="A766" s="227" t="s">
        <v>1076</v>
      </c>
      <c r="B766" s="231" t="s">
        <v>689</v>
      </c>
      <c r="C766" s="229">
        <v>954.608195</v>
      </c>
      <c r="D766" s="229">
        <v>386.035514</v>
      </c>
      <c r="E766" s="229">
        <v>386.035514</v>
      </c>
      <c r="F766" s="229"/>
      <c r="G766" s="229"/>
      <c r="H766" s="229">
        <v>568.572681</v>
      </c>
      <c r="I766" s="229">
        <v>568.572681</v>
      </c>
      <c r="J766" s="229"/>
      <c r="K766" s="229"/>
      <c r="L766" s="229"/>
      <c r="M766" s="229"/>
      <c r="N766" s="233" t="s">
        <v>578</v>
      </c>
    </row>
    <row r="767" hidden="1" spans="1:14">
      <c r="A767" s="235"/>
      <c r="B767" s="230" t="s">
        <v>1036</v>
      </c>
      <c r="C767" s="229">
        <v>49.01328</v>
      </c>
      <c r="D767" s="229"/>
      <c r="E767" s="229"/>
      <c r="F767" s="229"/>
      <c r="G767" s="229"/>
      <c r="H767" s="229">
        <v>49.01328</v>
      </c>
      <c r="I767" s="229">
        <v>49.01328</v>
      </c>
      <c r="J767" s="229"/>
      <c r="K767" s="229"/>
      <c r="L767" s="229"/>
      <c r="M767" s="229"/>
      <c r="N767" s="232"/>
    </row>
    <row r="768" hidden="1" spans="1:14">
      <c r="A768" s="235"/>
      <c r="B768" s="230" t="s">
        <v>1032</v>
      </c>
      <c r="C768" s="229">
        <v>408.444</v>
      </c>
      <c r="D768" s="229">
        <v>312.4488</v>
      </c>
      <c r="E768" s="229">
        <v>312.4488</v>
      </c>
      <c r="F768" s="229"/>
      <c r="G768" s="229"/>
      <c r="H768" s="229">
        <v>95.9952</v>
      </c>
      <c r="I768" s="229">
        <v>95.9952</v>
      </c>
      <c r="J768" s="229"/>
      <c r="K768" s="229"/>
      <c r="L768" s="229"/>
      <c r="M768" s="229"/>
      <c r="N768" s="232"/>
    </row>
    <row r="769" hidden="1" spans="1:14">
      <c r="A769" s="235"/>
      <c r="B769" s="230" t="s">
        <v>1033</v>
      </c>
      <c r="C769" s="229">
        <v>242.214935</v>
      </c>
      <c r="D769" s="229">
        <v>60.586714</v>
      </c>
      <c r="E769" s="229">
        <v>60.586714</v>
      </c>
      <c r="F769" s="229"/>
      <c r="G769" s="229"/>
      <c r="H769" s="229">
        <v>181.628221</v>
      </c>
      <c r="I769" s="229">
        <v>181.628221</v>
      </c>
      <c r="J769" s="229"/>
      <c r="K769" s="229"/>
      <c r="L769" s="229"/>
      <c r="M769" s="229"/>
      <c r="N769" s="232"/>
    </row>
    <row r="770" hidden="1" spans="1:14">
      <c r="A770" s="235"/>
      <c r="B770" s="230" t="s">
        <v>1029</v>
      </c>
      <c r="C770" s="229">
        <v>199.4411</v>
      </c>
      <c r="D770" s="229"/>
      <c r="E770" s="229"/>
      <c r="F770" s="229"/>
      <c r="G770" s="229"/>
      <c r="H770" s="229">
        <v>199.4411</v>
      </c>
      <c r="I770" s="229">
        <v>199.4411</v>
      </c>
      <c r="J770" s="229"/>
      <c r="K770" s="229"/>
      <c r="L770" s="229"/>
      <c r="M770" s="229"/>
      <c r="N770" s="232"/>
    </row>
    <row r="771" hidden="1" spans="1:14">
      <c r="A771" s="235"/>
      <c r="B771" s="230" t="s">
        <v>1030</v>
      </c>
      <c r="C771" s="229">
        <v>8</v>
      </c>
      <c r="D771" s="229"/>
      <c r="E771" s="229"/>
      <c r="F771" s="229"/>
      <c r="G771" s="229"/>
      <c r="H771" s="229">
        <v>8</v>
      </c>
      <c r="I771" s="229">
        <v>8</v>
      </c>
      <c r="J771" s="229"/>
      <c r="K771" s="229"/>
      <c r="L771" s="229"/>
      <c r="M771" s="229"/>
      <c r="N771" s="232"/>
    </row>
    <row r="772" hidden="1" spans="1:14">
      <c r="A772" s="235"/>
      <c r="B772" s="230" t="s">
        <v>1064</v>
      </c>
      <c r="C772" s="229">
        <v>25.8</v>
      </c>
      <c r="D772" s="229">
        <v>13</v>
      </c>
      <c r="E772" s="229">
        <v>13</v>
      </c>
      <c r="F772" s="229"/>
      <c r="G772" s="229"/>
      <c r="H772" s="229">
        <v>12.8</v>
      </c>
      <c r="I772" s="229">
        <v>12.8</v>
      </c>
      <c r="J772" s="229"/>
      <c r="K772" s="229"/>
      <c r="L772" s="229"/>
      <c r="M772" s="229"/>
      <c r="N772" s="232"/>
    </row>
    <row r="773" hidden="1" spans="1:14">
      <c r="A773" s="235"/>
      <c r="B773" s="230" t="s">
        <v>1039</v>
      </c>
      <c r="C773" s="229">
        <v>8.16888</v>
      </c>
      <c r="D773" s="229"/>
      <c r="E773" s="229"/>
      <c r="F773" s="229"/>
      <c r="G773" s="229"/>
      <c r="H773" s="229">
        <v>8.16888</v>
      </c>
      <c r="I773" s="229">
        <v>8.16888</v>
      </c>
      <c r="J773" s="229"/>
      <c r="K773" s="229"/>
      <c r="L773" s="229"/>
      <c r="M773" s="229"/>
      <c r="N773" s="232"/>
    </row>
    <row r="774" hidden="1" spans="1:14">
      <c r="A774" s="235"/>
      <c r="B774" s="230" t="s">
        <v>1035</v>
      </c>
      <c r="C774" s="229">
        <v>4.4</v>
      </c>
      <c r="D774" s="229"/>
      <c r="E774" s="229"/>
      <c r="F774" s="229"/>
      <c r="G774" s="229"/>
      <c r="H774" s="229">
        <v>4.4</v>
      </c>
      <c r="I774" s="229">
        <v>4.4</v>
      </c>
      <c r="J774" s="229"/>
      <c r="K774" s="229"/>
      <c r="L774" s="229"/>
      <c r="M774" s="229"/>
      <c r="N774" s="232"/>
    </row>
    <row r="775" hidden="1" spans="1:14">
      <c r="A775" s="235"/>
      <c r="B775" s="230" t="s">
        <v>1034</v>
      </c>
      <c r="C775" s="229">
        <v>9.126</v>
      </c>
      <c r="D775" s="229"/>
      <c r="E775" s="229"/>
      <c r="F775" s="229"/>
      <c r="G775" s="229"/>
      <c r="H775" s="229">
        <v>9.126</v>
      </c>
      <c r="I775" s="229">
        <v>9.126</v>
      </c>
      <c r="J775" s="229"/>
      <c r="K775" s="229"/>
      <c r="L775" s="229"/>
      <c r="M775" s="229"/>
      <c r="N775" s="232"/>
    </row>
    <row r="776" spans="1:14">
      <c r="A776" s="227" t="s">
        <v>1077</v>
      </c>
      <c r="B776" s="231" t="s">
        <v>690</v>
      </c>
      <c r="C776" s="229">
        <v>3166.413271</v>
      </c>
      <c r="D776" s="229">
        <v>1368.363082</v>
      </c>
      <c r="E776" s="229">
        <v>1368.363082</v>
      </c>
      <c r="F776" s="229"/>
      <c r="G776" s="229"/>
      <c r="H776" s="229">
        <v>1798.050189</v>
      </c>
      <c r="I776" s="229">
        <v>1798.050189</v>
      </c>
      <c r="J776" s="229"/>
      <c r="K776" s="229"/>
      <c r="L776" s="229"/>
      <c r="M776" s="229"/>
      <c r="N776" s="233" t="s">
        <v>578</v>
      </c>
    </row>
    <row r="777" hidden="1" spans="1:14">
      <c r="A777" s="235"/>
      <c r="B777" s="230" t="s">
        <v>1030</v>
      </c>
      <c r="C777" s="229">
        <v>16</v>
      </c>
      <c r="D777" s="229"/>
      <c r="E777" s="229"/>
      <c r="F777" s="229"/>
      <c r="G777" s="229"/>
      <c r="H777" s="229">
        <v>16</v>
      </c>
      <c r="I777" s="229">
        <v>16</v>
      </c>
      <c r="J777" s="229"/>
      <c r="K777" s="229"/>
      <c r="L777" s="229"/>
      <c r="M777" s="229"/>
      <c r="N777" s="232"/>
    </row>
    <row r="778" hidden="1" spans="1:14">
      <c r="A778" s="235"/>
      <c r="B778" s="230" t="s">
        <v>1037</v>
      </c>
      <c r="C778" s="229">
        <v>12.8036</v>
      </c>
      <c r="D778" s="229">
        <v>12.8036</v>
      </c>
      <c r="E778" s="229">
        <v>12.8036</v>
      </c>
      <c r="F778" s="229"/>
      <c r="G778" s="229"/>
      <c r="H778" s="229"/>
      <c r="I778" s="229"/>
      <c r="J778" s="229"/>
      <c r="K778" s="229"/>
      <c r="L778" s="229"/>
      <c r="M778" s="229"/>
      <c r="N778" s="232"/>
    </row>
    <row r="779" hidden="1" spans="1:14">
      <c r="A779" s="235"/>
      <c r="B779" s="230" t="s">
        <v>1036</v>
      </c>
      <c r="C779" s="229">
        <v>200.7618</v>
      </c>
      <c r="D779" s="229"/>
      <c r="E779" s="229"/>
      <c r="F779" s="229"/>
      <c r="G779" s="229"/>
      <c r="H779" s="229">
        <v>200.7618</v>
      </c>
      <c r="I779" s="229">
        <v>200.7618</v>
      </c>
      <c r="J779" s="229"/>
      <c r="K779" s="229"/>
      <c r="L779" s="229"/>
      <c r="M779" s="229"/>
      <c r="N779" s="232"/>
    </row>
    <row r="780" hidden="1" spans="1:14">
      <c r="A780" s="235"/>
      <c r="B780" s="230" t="s">
        <v>1029</v>
      </c>
      <c r="C780" s="229">
        <v>293.46</v>
      </c>
      <c r="D780" s="229"/>
      <c r="E780" s="229"/>
      <c r="F780" s="229"/>
      <c r="G780" s="229"/>
      <c r="H780" s="229">
        <v>293.46</v>
      </c>
      <c r="I780" s="229">
        <v>293.46</v>
      </c>
      <c r="J780" s="229"/>
      <c r="K780" s="229"/>
      <c r="L780" s="229"/>
      <c r="M780" s="229"/>
      <c r="N780" s="232"/>
    </row>
    <row r="781" hidden="1" spans="1:14">
      <c r="A781" s="235"/>
      <c r="B781" s="230" t="s">
        <v>1039</v>
      </c>
      <c r="C781" s="229">
        <v>59</v>
      </c>
      <c r="D781" s="229"/>
      <c r="E781" s="229"/>
      <c r="F781" s="229"/>
      <c r="G781" s="229"/>
      <c r="H781" s="229">
        <v>59</v>
      </c>
      <c r="I781" s="229">
        <v>59</v>
      </c>
      <c r="J781" s="229"/>
      <c r="K781" s="229"/>
      <c r="L781" s="229"/>
      <c r="M781" s="229"/>
      <c r="N781" s="232"/>
    </row>
    <row r="782" hidden="1" spans="1:14">
      <c r="A782" s="235"/>
      <c r="B782" s="230" t="s">
        <v>1042</v>
      </c>
      <c r="C782" s="229">
        <v>0.17</v>
      </c>
      <c r="D782" s="229">
        <v>0.17</v>
      </c>
      <c r="E782" s="229">
        <v>0.17</v>
      </c>
      <c r="F782" s="229"/>
      <c r="G782" s="229"/>
      <c r="H782" s="229"/>
      <c r="I782" s="229"/>
      <c r="J782" s="229"/>
      <c r="K782" s="229"/>
      <c r="L782" s="229"/>
      <c r="M782" s="229"/>
      <c r="N782" s="232"/>
    </row>
    <row r="783" hidden="1" spans="1:14">
      <c r="A783" s="235"/>
      <c r="B783" s="230" t="s">
        <v>1064</v>
      </c>
      <c r="C783" s="229">
        <v>149</v>
      </c>
      <c r="D783" s="229">
        <v>44</v>
      </c>
      <c r="E783" s="229">
        <v>44</v>
      </c>
      <c r="F783" s="229"/>
      <c r="G783" s="229"/>
      <c r="H783" s="229">
        <v>105</v>
      </c>
      <c r="I783" s="229">
        <v>105</v>
      </c>
      <c r="J783" s="229"/>
      <c r="K783" s="229"/>
      <c r="L783" s="229"/>
      <c r="M783" s="229"/>
      <c r="N783" s="232"/>
    </row>
    <row r="784" hidden="1" spans="1:14">
      <c r="A784" s="235"/>
      <c r="B784" s="230" t="s">
        <v>1034</v>
      </c>
      <c r="C784" s="229">
        <v>17.9985</v>
      </c>
      <c r="D784" s="229"/>
      <c r="E784" s="229"/>
      <c r="F784" s="229"/>
      <c r="G784" s="229"/>
      <c r="H784" s="229">
        <v>17.9985</v>
      </c>
      <c r="I784" s="229">
        <v>17.9985</v>
      </c>
      <c r="J784" s="229"/>
      <c r="K784" s="229"/>
      <c r="L784" s="229"/>
      <c r="M784" s="229"/>
      <c r="N784" s="232"/>
    </row>
    <row r="785" hidden="1" spans="1:14">
      <c r="A785" s="235"/>
      <c r="B785" s="230" t="s">
        <v>1033</v>
      </c>
      <c r="C785" s="229">
        <v>568.555211</v>
      </c>
      <c r="D785" s="229">
        <v>203.715322</v>
      </c>
      <c r="E785" s="229">
        <v>203.715322</v>
      </c>
      <c r="F785" s="229"/>
      <c r="G785" s="229"/>
      <c r="H785" s="229">
        <v>364.839889</v>
      </c>
      <c r="I785" s="229">
        <v>364.839889</v>
      </c>
      <c r="J785" s="229"/>
      <c r="K785" s="229"/>
      <c r="L785" s="229"/>
      <c r="M785" s="229"/>
      <c r="N785" s="232"/>
    </row>
    <row r="786" hidden="1" spans="1:14">
      <c r="A786" s="235"/>
      <c r="B786" s="230" t="s">
        <v>1032</v>
      </c>
      <c r="C786" s="229">
        <v>1848.66416</v>
      </c>
      <c r="D786" s="229">
        <v>1107.67416</v>
      </c>
      <c r="E786" s="229">
        <v>1107.67416</v>
      </c>
      <c r="F786" s="229"/>
      <c r="G786" s="229"/>
      <c r="H786" s="229">
        <v>740.99</v>
      </c>
      <c r="I786" s="229">
        <v>740.99</v>
      </c>
      <c r="J786" s="229"/>
      <c r="K786" s="229"/>
      <c r="L786" s="229"/>
      <c r="M786" s="229"/>
      <c r="N786" s="232"/>
    </row>
    <row r="787" spans="1:14">
      <c r="A787" s="227" t="s">
        <v>1078</v>
      </c>
      <c r="B787" s="231" t="s">
        <v>691</v>
      </c>
      <c r="C787" s="229">
        <v>809.386918</v>
      </c>
      <c r="D787" s="229">
        <v>385.396918</v>
      </c>
      <c r="E787" s="229">
        <v>385.396918</v>
      </c>
      <c r="F787" s="229"/>
      <c r="G787" s="229"/>
      <c r="H787" s="229">
        <v>423.99</v>
      </c>
      <c r="I787" s="229">
        <v>423.99</v>
      </c>
      <c r="J787" s="229"/>
      <c r="K787" s="229"/>
      <c r="L787" s="229"/>
      <c r="M787" s="229"/>
      <c r="N787" s="233" t="s">
        <v>578</v>
      </c>
    </row>
    <row r="788" hidden="1" spans="1:14">
      <c r="A788" s="235"/>
      <c r="B788" s="236" t="s">
        <v>1036</v>
      </c>
      <c r="C788" s="229">
        <v>55</v>
      </c>
      <c r="D788" s="229"/>
      <c r="E788" s="229"/>
      <c r="F788" s="229"/>
      <c r="G788" s="229"/>
      <c r="H788" s="229">
        <v>55</v>
      </c>
      <c r="I788" s="229">
        <v>55</v>
      </c>
      <c r="J788" s="229"/>
      <c r="K788" s="229"/>
      <c r="L788" s="229"/>
      <c r="M788" s="229"/>
      <c r="N788" s="232"/>
    </row>
    <row r="789" hidden="1" spans="1:14">
      <c r="A789" s="235"/>
      <c r="B789" s="236" t="s">
        <v>1037</v>
      </c>
      <c r="C789" s="229">
        <v>2.3</v>
      </c>
      <c r="D789" s="229"/>
      <c r="E789" s="229"/>
      <c r="F789" s="229"/>
      <c r="G789" s="229"/>
      <c r="H789" s="229">
        <v>2.3</v>
      </c>
      <c r="I789" s="229">
        <v>2.3</v>
      </c>
      <c r="J789" s="229"/>
      <c r="K789" s="229"/>
      <c r="L789" s="229"/>
      <c r="M789" s="229"/>
      <c r="N789" s="232"/>
    </row>
    <row r="790" hidden="1" spans="1:14">
      <c r="A790" s="235"/>
      <c r="B790" s="236" t="s">
        <v>1029</v>
      </c>
      <c r="C790" s="229">
        <v>170.307718</v>
      </c>
      <c r="D790" s="229"/>
      <c r="E790" s="229"/>
      <c r="F790" s="229"/>
      <c r="G790" s="229"/>
      <c r="H790" s="229">
        <v>170.307718</v>
      </c>
      <c r="I790" s="229">
        <v>170.307718</v>
      </c>
      <c r="J790" s="229"/>
      <c r="K790" s="229"/>
      <c r="L790" s="229"/>
      <c r="M790" s="229"/>
      <c r="N790" s="232"/>
    </row>
    <row r="791" hidden="1" spans="1:14">
      <c r="A791" s="235"/>
      <c r="B791" s="236" t="s">
        <v>1039</v>
      </c>
      <c r="C791" s="229">
        <v>7.23</v>
      </c>
      <c r="D791" s="229"/>
      <c r="E791" s="229"/>
      <c r="F791" s="229"/>
      <c r="G791" s="229"/>
      <c r="H791" s="229">
        <v>7.23</v>
      </c>
      <c r="I791" s="229">
        <v>7.23</v>
      </c>
      <c r="J791" s="229"/>
      <c r="K791" s="229"/>
      <c r="L791" s="229"/>
      <c r="M791" s="229"/>
      <c r="N791" s="232"/>
    </row>
    <row r="792" hidden="1" spans="1:14">
      <c r="A792" s="235"/>
      <c r="B792" s="236" t="s">
        <v>1035</v>
      </c>
      <c r="C792" s="229">
        <v>2.42</v>
      </c>
      <c r="D792" s="229"/>
      <c r="E792" s="229"/>
      <c r="F792" s="229"/>
      <c r="G792" s="229"/>
      <c r="H792" s="229">
        <v>2.42</v>
      </c>
      <c r="I792" s="229">
        <v>2.42</v>
      </c>
      <c r="J792" s="229"/>
      <c r="K792" s="229"/>
      <c r="L792" s="229"/>
      <c r="M792" s="229"/>
      <c r="N792" s="232"/>
    </row>
    <row r="793" hidden="1" spans="1:14">
      <c r="A793" s="235"/>
      <c r="B793" s="236" t="s">
        <v>1064</v>
      </c>
      <c r="C793" s="229">
        <v>13</v>
      </c>
      <c r="D793" s="229">
        <v>13</v>
      </c>
      <c r="E793" s="229">
        <v>13</v>
      </c>
      <c r="F793" s="229"/>
      <c r="G793" s="229"/>
      <c r="H793" s="229"/>
      <c r="I793" s="229"/>
      <c r="J793" s="229"/>
      <c r="K793" s="229"/>
      <c r="L793" s="229"/>
      <c r="M793" s="229"/>
      <c r="N793" s="232"/>
    </row>
    <row r="794" hidden="1" spans="1:14">
      <c r="A794" s="235"/>
      <c r="B794" s="236" t="s">
        <v>1034</v>
      </c>
      <c r="C794" s="229">
        <v>7.098</v>
      </c>
      <c r="D794" s="229"/>
      <c r="E794" s="229"/>
      <c r="F794" s="229"/>
      <c r="G794" s="229"/>
      <c r="H794" s="229">
        <v>7.098</v>
      </c>
      <c r="I794" s="229">
        <v>7.098</v>
      </c>
      <c r="J794" s="229"/>
      <c r="K794" s="229"/>
      <c r="L794" s="229"/>
      <c r="M794" s="229"/>
      <c r="N794" s="232"/>
    </row>
    <row r="795" hidden="1" spans="1:14">
      <c r="A795" s="235"/>
      <c r="B795" s="236" t="s">
        <v>1032</v>
      </c>
      <c r="C795" s="229">
        <v>360.5112</v>
      </c>
      <c r="D795" s="229">
        <v>313.03824</v>
      </c>
      <c r="E795" s="229">
        <v>313.03824</v>
      </c>
      <c r="F795" s="229"/>
      <c r="G795" s="229"/>
      <c r="H795" s="229">
        <v>47.47296</v>
      </c>
      <c r="I795" s="229">
        <v>47.47296</v>
      </c>
      <c r="J795" s="229"/>
      <c r="K795" s="229"/>
      <c r="L795" s="229"/>
      <c r="M795" s="229"/>
      <c r="N795" s="232"/>
    </row>
    <row r="796" hidden="1" spans="1:14">
      <c r="A796" s="235"/>
      <c r="B796" s="236" t="s">
        <v>1033</v>
      </c>
      <c r="C796" s="229">
        <v>191.52</v>
      </c>
      <c r="D796" s="229">
        <v>59.358678</v>
      </c>
      <c r="E796" s="229">
        <v>59.358678</v>
      </c>
      <c r="F796" s="229"/>
      <c r="G796" s="229"/>
      <c r="H796" s="229">
        <v>132.161322</v>
      </c>
      <c r="I796" s="229">
        <v>132.161322</v>
      </c>
      <c r="J796" s="229"/>
      <c r="K796" s="229"/>
      <c r="L796" s="229"/>
      <c r="M796" s="229"/>
      <c r="N796" s="232"/>
    </row>
    <row r="797" spans="1:14">
      <c r="A797" s="227" t="s">
        <v>1079</v>
      </c>
      <c r="B797" s="231" t="s">
        <v>692</v>
      </c>
      <c r="C797" s="229">
        <v>907.3</v>
      </c>
      <c r="D797" s="229">
        <v>465.588374</v>
      </c>
      <c r="E797" s="229">
        <v>465.588374</v>
      </c>
      <c r="F797" s="229"/>
      <c r="G797" s="229"/>
      <c r="H797" s="229">
        <v>441.711626</v>
      </c>
      <c r="I797" s="229">
        <v>441.711626</v>
      </c>
      <c r="J797" s="229"/>
      <c r="K797" s="229"/>
      <c r="L797" s="229"/>
      <c r="M797" s="229"/>
      <c r="N797" s="233" t="s">
        <v>578</v>
      </c>
    </row>
    <row r="798" hidden="1" spans="1:14">
      <c r="A798" s="235"/>
      <c r="B798" s="230" t="s">
        <v>1064</v>
      </c>
      <c r="C798" s="229">
        <v>15</v>
      </c>
      <c r="D798" s="229">
        <v>15</v>
      </c>
      <c r="E798" s="229">
        <v>15</v>
      </c>
      <c r="F798" s="229"/>
      <c r="G798" s="229"/>
      <c r="H798" s="229"/>
      <c r="I798" s="229"/>
      <c r="J798" s="229"/>
      <c r="K798" s="229"/>
      <c r="L798" s="229"/>
      <c r="M798" s="229"/>
      <c r="N798" s="232"/>
    </row>
    <row r="799" hidden="1" spans="1:14">
      <c r="A799" s="235"/>
      <c r="B799" s="230" t="s">
        <v>1036</v>
      </c>
      <c r="C799" s="229">
        <v>56.07</v>
      </c>
      <c r="D799" s="229"/>
      <c r="E799" s="229"/>
      <c r="F799" s="229"/>
      <c r="G799" s="229"/>
      <c r="H799" s="229">
        <v>56.07</v>
      </c>
      <c r="I799" s="229">
        <v>56.07</v>
      </c>
      <c r="J799" s="229"/>
      <c r="K799" s="229"/>
      <c r="L799" s="229"/>
      <c r="M799" s="229"/>
      <c r="N799" s="232"/>
    </row>
    <row r="800" hidden="1" spans="1:14">
      <c r="A800" s="235"/>
      <c r="B800" s="230" t="s">
        <v>1034</v>
      </c>
      <c r="C800" s="229">
        <v>20.51</v>
      </c>
      <c r="D800" s="229"/>
      <c r="E800" s="229"/>
      <c r="F800" s="229"/>
      <c r="G800" s="229"/>
      <c r="H800" s="229">
        <v>20.51</v>
      </c>
      <c r="I800" s="229">
        <v>20.51</v>
      </c>
      <c r="J800" s="229"/>
      <c r="K800" s="229"/>
      <c r="L800" s="229"/>
      <c r="M800" s="229"/>
      <c r="N800" s="232"/>
    </row>
    <row r="801" hidden="1" spans="1:14">
      <c r="A801" s="235"/>
      <c r="B801" s="230" t="s">
        <v>1032</v>
      </c>
      <c r="C801" s="229">
        <v>431.65864</v>
      </c>
      <c r="D801" s="229">
        <v>379.65864</v>
      </c>
      <c r="E801" s="229">
        <v>379.65864</v>
      </c>
      <c r="F801" s="229"/>
      <c r="G801" s="229"/>
      <c r="H801" s="229">
        <v>52</v>
      </c>
      <c r="I801" s="229">
        <v>52</v>
      </c>
      <c r="J801" s="229"/>
      <c r="K801" s="229"/>
      <c r="L801" s="229"/>
      <c r="M801" s="229"/>
      <c r="N801" s="232"/>
    </row>
    <row r="802" hidden="1" spans="1:14">
      <c r="A802" s="235"/>
      <c r="B802" s="230" t="s">
        <v>1033</v>
      </c>
      <c r="C802" s="229">
        <v>252.159734</v>
      </c>
      <c r="D802" s="229">
        <v>70.929734</v>
      </c>
      <c r="E802" s="229">
        <v>70.929734</v>
      </c>
      <c r="F802" s="229"/>
      <c r="G802" s="229"/>
      <c r="H802" s="229">
        <v>181.23</v>
      </c>
      <c r="I802" s="229">
        <v>181.23</v>
      </c>
      <c r="J802" s="229"/>
      <c r="K802" s="229"/>
      <c r="L802" s="229"/>
      <c r="M802" s="229"/>
      <c r="N802" s="232"/>
    </row>
    <row r="803" hidden="1" spans="1:14">
      <c r="A803" s="235"/>
      <c r="B803" s="230" t="s">
        <v>1039</v>
      </c>
      <c r="C803" s="229">
        <v>9.35</v>
      </c>
      <c r="D803" s="229"/>
      <c r="E803" s="229"/>
      <c r="F803" s="229"/>
      <c r="G803" s="229"/>
      <c r="H803" s="229">
        <v>9.35</v>
      </c>
      <c r="I803" s="229">
        <v>9.35</v>
      </c>
      <c r="J803" s="229"/>
      <c r="K803" s="229"/>
      <c r="L803" s="229"/>
      <c r="M803" s="229"/>
      <c r="N803" s="232"/>
    </row>
    <row r="804" hidden="1" spans="1:14">
      <c r="A804" s="235"/>
      <c r="B804" s="230" t="s">
        <v>1029</v>
      </c>
      <c r="C804" s="229">
        <v>122.551626</v>
      </c>
      <c r="D804" s="229"/>
      <c r="E804" s="229"/>
      <c r="F804" s="229"/>
      <c r="G804" s="229"/>
      <c r="H804" s="229">
        <v>122.551626</v>
      </c>
      <c r="I804" s="229">
        <v>122.551626</v>
      </c>
      <c r="J804" s="229"/>
      <c r="K804" s="229"/>
      <c r="L804" s="229"/>
      <c r="M804" s="229"/>
      <c r="N804" s="232"/>
    </row>
    <row r="805" spans="1:14">
      <c r="A805" s="227" t="s">
        <v>1080</v>
      </c>
      <c r="B805" s="231" t="s">
        <v>693</v>
      </c>
      <c r="C805" s="229">
        <v>1276.35847</v>
      </c>
      <c r="D805" s="229">
        <v>558.40917</v>
      </c>
      <c r="E805" s="229">
        <v>558.40917</v>
      </c>
      <c r="F805" s="229"/>
      <c r="G805" s="229"/>
      <c r="H805" s="229">
        <v>717.9493</v>
      </c>
      <c r="I805" s="229">
        <v>717.9493</v>
      </c>
      <c r="J805" s="229"/>
      <c r="K805" s="229"/>
      <c r="L805" s="229"/>
      <c r="M805" s="229"/>
      <c r="N805" s="233" t="s">
        <v>578</v>
      </c>
    </row>
    <row r="806" hidden="1" spans="1:14">
      <c r="A806" s="235"/>
      <c r="B806" s="230" t="s">
        <v>1029</v>
      </c>
      <c r="C806" s="229">
        <v>239.1052</v>
      </c>
      <c r="D806" s="229"/>
      <c r="E806" s="229"/>
      <c r="F806" s="229"/>
      <c r="G806" s="229"/>
      <c r="H806" s="229">
        <v>239.1052</v>
      </c>
      <c r="I806" s="229">
        <v>239.1052</v>
      </c>
      <c r="J806" s="229"/>
      <c r="K806" s="229"/>
      <c r="L806" s="229"/>
      <c r="M806" s="229"/>
      <c r="N806" s="232"/>
    </row>
    <row r="807" hidden="1" spans="1:14">
      <c r="A807" s="235"/>
      <c r="B807" s="230" t="s">
        <v>1034</v>
      </c>
      <c r="C807" s="229">
        <v>4.056</v>
      </c>
      <c r="D807" s="229"/>
      <c r="E807" s="229"/>
      <c r="F807" s="229"/>
      <c r="G807" s="229"/>
      <c r="H807" s="229">
        <v>4.056</v>
      </c>
      <c r="I807" s="229">
        <v>4.056</v>
      </c>
      <c r="J807" s="229"/>
      <c r="K807" s="229"/>
      <c r="L807" s="229"/>
      <c r="M807" s="229"/>
      <c r="N807" s="232"/>
    </row>
    <row r="808" hidden="1" spans="1:14">
      <c r="A808" s="235"/>
      <c r="B808" s="230" t="s">
        <v>1039</v>
      </c>
      <c r="C808" s="229">
        <v>11.54</v>
      </c>
      <c r="D808" s="229"/>
      <c r="E808" s="229"/>
      <c r="F808" s="229"/>
      <c r="G808" s="229"/>
      <c r="H808" s="229">
        <v>11.54</v>
      </c>
      <c r="I808" s="229">
        <v>11.54</v>
      </c>
      <c r="J808" s="229"/>
      <c r="K808" s="229"/>
      <c r="L808" s="229"/>
      <c r="M808" s="229"/>
      <c r="N808" s="232"/>
    </row>
    <row r="809" hidden="1" spans="1:14">
      <c r="A809" s="235"/>
      <c r="B809" s="230" t="s">
        <v>1030</v>
      </c>
      <c r="C809" s="229">
        <v>12</v>
      </c>
      <c r="D809" s="229"/>
      <c r="E809" s="229"/>
      <c r="F809" s="229"/>
      <c r="G809" s="229"/>
      <c r="H809" s="229">
        <v>12</v>
      </c>
      <c r="I809" s="229">
        <v>12</v>
      </c>
      <c r="J809" s="229"/>
      <c r="K809" s="229"/>
      <c r="L809" s="229"/>
      <c r="M809" s="229"/>
      <c r="N809" s="232"/>
    </row>
    <row r="810" hidden="1" spans="1:14">
      <c r="A810" s="235"/>
      <c r="B810" s="230" t="s">
        <v>1035</v>
      </c>
      <c r="C810" s="229">
        <v>1.632</v>
      </c>
      <c r="D810" s="229"/>
      <c r="E810" s="229"/>
      <c r="F810" s="229"/>
      <c r="G810" s="229"/>
      <c r="H810" s="229">
        <v>1.632</v>
      </c>
      <c r="I810" s="229">
        <v>1.632</v>
      </c>
      <c r="J810" s="229"/>
      <c r="K810" s="229"/>
      <c r="L810" s="229"/>
      <c r="M810" s="229"/>
      <c r="N810" s="232"/>
    </row>
    <row r="811" hidden="1" spans="1:14">
      <c r="A811" s="235"/>
      <c r="B811" s="230" t="s">
        <v>1027</v>
      </c>
      <c r="C811" s="229">
        <v>2</v>
      </c>
      <c r="D811" s="229"/>
      <c r="E811" s="229"/>
      <c r="F811" s="229"/>
      <c r="G811" s="229"/>
      <c r="H811" s="229">
        <v>2</v>
      </c>
      <c r="I811" s="229">
        <v>2</v>
      </c>
      <c r="J811" s="229"/>
      <c r="K811" s="229"/>
      <c r="L811" s="229"/>
      <c r="M811" s="229"/>
      <c r="N811" s="232"/>
    </row>
    <row r="812" hidden="1" spans="1:14">
      <c r="A812" s="235"/>
      <c r="B812" s="230" t="s">
        <v>1037</v>
      </c>
      <c r="C812" s="229">
        <v>5.44</v>
      </c>
      <c r="D812" s="229"/>
      <c r="E812" s="229"/>
      <c r="F812" s="229"/>
      <c r="G812" s="229"/>
      <c r="H812" s="229">
        <v>5.44</v>
      </c>
      <c r="I812" s="229">
        <v>5.44</v>
      </c>
      <c r="J812" s="229"/>
      <c r="K812" s="229"/>
      <c r="L812" s="229"/>
      <c r="M812" s="229"/>
      <c r="N812" s="232"/>
    </row>
    <row r="813" hidden="1" spans="1:14">
      <c r="A813" s="235"/>
      <c r="B813" s="230" t="s">
        <v>1033</v>
      </c>
      <c r="C813" s="229">
        <v>253.78425</v>
      </c>
      <c r="D813" s="229">
        <v>87.42005</v>
      </c>
      <c r="E813" s="229">
        <v>87.42005</v>
      </c>
      <c r="F813" s="229"/>
      <c r="G813" s="229"/>
      <c r="H813" s="229">
        <v>166.3642</v>
      </c>
      <c r="I813" s="229">
        <v>166.3642</v>
      </c>
      <c r="J813" s="229"/>
      <c r="K813" s="229"/>
      <c r="L813" s="229"/>
      <c r="M813" s="229"/>
      <c r="N813" s="232"/>
    </row>
    <row r="814" hidden="1" spans="1:14">
      <c r="A814" s="235"/>
      <c r="B814" s="230" t="s">
        <v>1036</v>
      </c>
      <c r="C814" s="229">
        <v>69.2391</v>
      </c>
      <c r="D814" s="229"/>
      <c r="E814" s="229"/>
      <c r="F814" s="229"/>
      <c r="G814" s="229"/>
      <c r="H814" s="229">
        <v>69.2391</v>
      </c>
      <c r="I814" s="229">
        <v>69.2391</v>
      </c>
      <c r="J814" s="229"/>
      <c r="K814" s="229"/>
      <c r="L814" s="229"/>
      <c r="M814" s="229"/>
      <c r="N814" s="232"/>
    </row>
    <row r="815" hidden="1" spans="1:14">
      <c r="A815" s="235"/>
      <c r="B815" s="230" t="s">
        <v>1064</v>
      </c>
      <c r="C815" s="229">
        <v>70.7076</v>
      </c>
      <c r="D815" s="229">
        <v>17.98</v>
      </c>
      <c r="E815" s="229">
        <v>17.98</v>
      </c>
      <c r="F815" s="229"/>
      <c r="G815" s="229"/>
      <c r="H815" s="229">
        <v>52.7276</v>
      </c>
      <c r="I815" s="229">
        <v>52.7276</v>
      </c>
      <c r="J815" s="229"/>
      <c r="K815" s="229"/>
      <c r="L815" s="229"/>
      <c r="M815" s="229"/>
      <c r="N815" s="232"/>
    </row>
    <row r="816" hidden="1" spans="1:14">
      <c r="A816" s="235"/>
      <c r="B816" s="230" t="s">
        <v>1032</v>
      </c>
      <c r="C816" s="229">
        <v>606.85432</v>
      </c>
      <c r="D816" s="229">
        <v>453.00912</v>
      </c>
      <c r="E816" s="229">
        <v>453.00912</v>
      </c>
      <c r="F816" s="229"/>
      <c r="G816" s="229"/>
      <c r="H816" s="229">
        <v>153.8452</v>
      </c>
      <c r="I816" s="229">
        <v>153.8452</v>
      </c>
      <c r="J816" s="229"/>
      <c r="K816" s="229"/>
      <c r="L816" s="229"/>
      <c r="M816" s="229"/>
      <c r="N816" s="232"/>
    </row>
    <row r="817" spans="1:14">
      <c r="A817" s="227" t="s">
        <v>1081</v>
      </c>
      <c r="B817" s="231" t="s">
        <v>694</v>
      </c>
      <c r="C817" s="229">
        <v>799.1304</v>
      </c>
      <c r="D817" s="229">
        <v>394.647664</v>
      </c>
      <c r="E817" s="229">
        <v>394.647664</v>
      </c>
      <c r="F817" s="229"/>
      <c r="G817" s="229"/>
      <c r="H817" s="229">
        <v>404.482736</v>
      </c>
      <c r="I817" s="229">
        <v>404.482736</v>
      </c>
      <c r="J817" s="229"/>
      <c r="K817" s="229"/>
      <c r="L817" s="229"/>
      <c r="M817" s="229"/>
      <c r="N817" s="233" t="s">
        <v>578</v>
      </c>
    </row>
    <row r="818" hidden="1" spans="1:14">
      <c r="A818" s="235"/>
      <c r="B818" s="230" t="s">
        <v>1029</v>
      </c>
      <c r="C818" s="229">
        <v>66.58</v>
      </c>
      <c r="D818" s="229"/>
      <c r="E818" s="229"/>
      <c r="F818" s="229"/>
      <c r="G818" s="229"/>
      <c r="H818" s="229">
        <v>66.58</v>
      </c>
      <c r="I818" s="229">
        <v>66.58</v>
      </c>
      <c r="J818" s="229"/>
      <c r="K818" s="229"/>
      <c r="L818" s="229"/>
      <c r="M818" s="229"/>
      <c r="N818" s="232"/>
    </row>
    <row r="819" hidden="1" spans="1:14">
      <c r="A819" s="235"/>
      <c r="B819" s="230" t="s">
        <v>1030</v>
      </c>
      <c r="C819" s="229">
        <v>4</v>
      </c>
      <c r="D819" s="229"/>
      <c r="E819" s="229"/>
      <c r="F819" s="229"/>
      <c r="G819" s="229"/>
      <c r="H819" s="229">
        <v>4</v>
      </c>
      <c r="I819" s="229">
        <v>4</v>
      </c>
      <c r="J819" s="229"/>
      <c r="K819" s="229"/>
      <c r="L819" s="229"/>
      <c r="M819" s="229"/>
      <c r="N819" s="232"/>
    </row>
    <row r="820" hidden="1" spans="1:14">
      <c r="A820" s="235"/>
      <c r="B820" s="230" t="s">
        <v>1039</v>
      </c>
      <c r="C820" s="229">
        <v>8.24</v>
      </c>
      <c r="D820" s="229"/>
      <c r="E820" s="229"/>
      <c r="F820" s="229"/>
      <c r="G820" s="229"/>
      <c r="H820" s="229">
        <v>8.24</v>
      </c>
      <c r="I820" s="229">
        <v>8.24</v>
      </c>
      <c r="J820" s="229"/>
      <c r="K820" s="229"/>
      <c r="L820" s="229"/>
      <c r="M820" s="229"/>
      <c r="N820" s="232"/>
    </row>
    <row r="821" hidden="1" spans="1:14">
      <c r="A821" s="235"/>
      <c r="B821" s="230" t="s">
        <v>1035</v>
      </c>
      <c r="C821" s="229">
        <v>3.19</v>
      </c>
      <c r="D821" s="229"/>
      <c r="E821" s="229"/>
      <c r="F821" s="229"/>
      <c r="G821" s="229"/>
      <c r="H821" s="229">
        <v>3.19</v>
      </c>
      <c r="I821" s="229">
        <v>3.19</v>
      </c>
      <c r="J821" s="229"/>
      <c r="K821" s="229"/>
      <c r="L821" s="229"/>
      <c r="M821" s="229"/>
      <c r="N821" s="232"/>
    </row>
    <row r="822" hidden="1" spans="1:14">
      <c r="A822" s="235"/>
      <c r="B822" s="230" t="s">
        <v>1036</v>
      </c>
      <c r="C822" s="229">
        <v>49.46</v>
      </c>
      <c r="D822" s="229"/>
      <c r="E822" s="229"/>
      <c r="F822" s="229"/>
      <c r="G822" s="229"/>
      <c r="H822" s="229">
        <v>49.46</v>
      </c>
      <c r="I822" s="229">
        <v>49.46</v>
      </c>
      <c r="J822" s="229"/>
      <c r="K822" s="229"/>
      <c r="L822" s="229"/>
      <c r="M822" s="229"/>
      <c r="N822" s="232"/>
    </row>
    <row r="823" hidden="1" spans="1:14">
      <c r="A823" s="235"/>
      <c r="B823" s="230" t="s">
        <v>1064</v>
      </c>
      <c r="C823" s="229">
        <v>26.8</v>
      </c>
      <c r="D823" s="229">
        <v>13</v>
      </c>
      <c r="E823" s="229">
        <v>13</v>
      </c>
      <c r="F823" s="229"/>
      <c r="G823" s="229"/>
      <c r="H823" s="229">
        <v>13.8</v>
      </c>
      <c r="I823" s="229">
        <v>13.8</v>
      </c>
      <c r="J823" s="229"/>
      <c r="K823" s="229"/>
      <c r="L823" s="229"/>
      <c r="M823" s="229"/>
      <c r="N823" s="232"/>
    </row>
    <row r="824" hidden="1" spans="1:14">
      <c r="A824" s="235"/>
      <c r="B824" s="230" t="s">
        <v>1032</v>
      </c>
      <c r="C824" s="229">
        <v>406.7604</v>
      </c>
      <c r="D824" s="229">
        <v>320.4708</v>
      </c>
      <c r="E824" s="229">
        <v>320.4708</v>
      </c>
      <c r="F824" s="229"/>
      <c r="G824" s="229"/>
      <c r="H824" s="229">
        <v>86.2896</v>
      </c>
      <c r="I824" s="229">
        <v>86.2896</v>
      </c>
      <c r="J824" s="229"/>
      <c r="K824" s="229"/>
      <c r="L824" s="229"/>
      <c r="M824" s="229"/>
      <c r="N824" s="232"/>
    </row>
    <row r="825" hidden="1" spans="1:14">
      <c r="A825" s="235"/>
      <c r="B825" s="230" t="s">
        <v>1033</v>
      </c>
      <c r="C825" s="229">
        <v>220.96</v>
      </c>
      <c r="D825" s="229">
        <v>61.176864</v>
      </c>
      <c r="E825" s="229">
        <v>61.176864</v>
      </c>
      <c r="F825" s="229"/>
      <c r="G825" s="229"/>
      <c r="H825" s="229">
        <v>159.783136</v>
      </c>
      <c r="I825" s="229">
        <v>159.783136</v>
      </c>
      <c r="J825" s="229"/>
      <c r="K825" s="229"/>
      <c r="L825" s="229"/>
      <c r="M825" s="229"/>
      <c r="N825" s="232"/>
    </row>
    <row r="826" hidden="1" spans="1:14">
      <c r="A826" s="235"/>
      <c r="B826" s="230" t="s">
        <v>1034</v>
      </c>
      <c r="C826" s="229">
        <v>13.14</v>
      </c>
      <c r="D826" s="229"/>
      <c r="E826" s="229"/>
      <c r="F826" s="229"/>
      <c r="G826" s="229"/>
      <c r="H826" s="229">
        <v>13.14</v>
      </c>
      <c r="I826" s="229">
        <v>13.14</v>
      </c>
      <c r="J826" s="229"/>
      <c r="K826" s="229"/>
      <c r="L826" s="229"/>
      <c r="M826" s="229"/>
      <c r="N826" s="232"/>
    </row>
    <row r="827" spans="1:14">
      <c r="A827" s="227" t="s">
        <v>1082</v>
      </c>
      <c r="B827" s="231" t="s">
        <v>695</v>
      </c>
      <c r="C827" s="229">
        <v>65.350525</v>
      </c>
      <c r="D827" s="229">
        <v>39.130525</v>
      </c>
      <c r="E827" s="229">
        <v>39.130525</v>
      </c>
      <c r="F827" s="229"/>
      <c r="G827" s="229"/>
      <c r="H827" s="229">
        <v>26.22</v>
      </c>
      <c r="I827" s="229">
        <v>26.22</v>
      </c>
      <c r="J827" s="229"/>
      <c r="K827" s="229"/>
      <c r="L827" s="229"/>
      <c r="M827" s="229"/>
      <c r="N827" s="233" t="s">
        <v>578</v>
      </c>
    </row>
    <row r="828" hidden="1" spans="1:14">
      <c r="A828" s="235"/>
      <c r="B828" s="230" t="s">
        <v>1033</v>
      </c>
      <c r="C828" s="229">
        <v>14.41</v>
      </c>
      <c r="D828" s="229">
        <v>5.385005</v>
      </c>
      <c r="E828" s="229">
        <v>5.385005</v>
      </c>
      <c r="F828" s="229"/>
      <c r="G828" s="229"/>
      <c r="H828" s="229">
        <v>9.024995</v>
      </c>
      <c r="I828" s="229">
        <v>9.024995</v>
      </c>
      <c r="J828" s="229"/>
      <c r="K828" s="229"/>
      <c r="L828" s="229"/>
      <c r="M828" s="229"/>
      <c r="N828" s="232"/>
    </row>
    <row r="829" hidden="1" spans="1:14">
      <c r="A829" s="235"/>
      <c r="B829" s="230" t="s">
        <v>1032</v>
      </c>
      <c r="C829" s="229">
        <v>28.74552</v>
      </c>
      <c r="D829" s="229">
        <v>28.74552</v>
      </c>
      <c r="E829" s="229">
        <v>28.74552</v>
      </c>
      <c r="F829" s="229"/>
      <c r="G829" s="229"/>
      <c r="H829" s="229"/>
      <c r="I829" s="229"/>
      <c r="J829" s="229"/>
      <c r="K829" s="229"/>
      <c r="L829" s="229"/>
      <c r="M829" s="229"/>
      <c r="N829" s="232"/>
    </row>
    <row r="830" hidden="1" spans="1:14">
      <c r="A830" s="235"/>
      <c r="B830" s="230" t="s">
        <v>1029</v>
      </c>
      <c r="C830" s="229">
        <v>4.76</v>
      </c>
      <c r="D830" s="229"/>
      <c r="E830" s="229"/>
      <c r="F830" s="229"/>
      <c r="G830" s="229"/>
      <c r="H830" s="229">
        <v>4.76</v>
      </c>
      <c r="I830" s="229">
        <v>4.76</v>
      </c>
      <c r="J830" s="229"/>
      <c r="K830" s="229"/>
      <c r="L830" s="229"/>
      <c r="M830" s="229"/>
      <c r="N830" s="232"/>
    </row>
    <row r="831" hidden="1" spans="1:14">
      <c r="A831" s="235"/>
      <c r="B831" s="230" t="s">
        <v>1039</v>
      </c>
      <c r="C831" s="229">
        <v>0.8</v>
      </c>
      <c r="D831" s="229"/>
      <c r="E831" s="229"/>
      <c r="F831" s="229"/>
      <c r="G831" s="229"/>
      <c r="H831" s="229">
        <v>0.8</v>
      </c>
      <c r="I831" s="229">
        <v>0.8</v>
      </c>
      <c r="J831" s="229"/>
      <c r="K831" s="229"/>
      <c r="L831" s="229"/>
      <c r="M831" s="229"/>
      <c r="N831" s="232"/>
    </row>
    <row r="832" hidden="1" spans="1:14">
      <c r="A832" s="235"/>
      <c r="B832" s="230" t="s">
        <v>1064</v>
      </c>
      <c r="C832" s="229">
        <v>12.145005</v>
      </c>
      <c r="D832" s="229">
        <v>5</v>
      </c>
      <c r="E832" s="229">
        <v>5</v>
      </c>
      <c r="F832" s="229"/>
      <c r="G832" s="229"/>
      <c r="H832" s="229">
        <v>7.145005</v>
      </c>
      <c r="I832" s="229">
        <v>7.145005</v>
      </c>
      <c r="J832" s="229"/>
      <c r="K832" s="229"/>
      <c r="L832" s="229"/>
      <c r="M832" s="229"/>
      <c r="N832" s="232"/>
    </row>
    <row r="833" hidden="1" spans="1:14">
      <c r="A833" s="235"/>
      <c r="B833" s="230" t="s">
        <v>1036</v>
      </c>
      <c r="C833" s="229">
        <v>4.49</v>
      </c>
      <c r="D833" s="229"/>
      <c r="E833" s="229"/>
      <c r="F833" s="229"/>
      <c r="G833" s="229"/>
      <c r="H833" s="229">
        <v>4.49</v>
      </c>
      <c r="I833" s="229">
        <v>4.49</v>
      </c>
      <c r="J833" s="229"/>
      <c r="K833" s="229"/>
      <c r="L833" s="229"/>
      <c r="M833" s="229"/>
      <c r="N833" s="232"/>
    </row>
    <row r="834" spans="1:14">
      <c r="A834" s="227" t="s">
        <v>1083</v>
      </c>
      <c r="B834" s="231" t="s">
        <v>696</v>
      </c>
      <c r="C834" s="229">
        <v>849.59</v>
      </c>
      <c r="D834" s="229">
        <v>240.429066</v>
      </c>
      <c r="E834" s="229">
        <v>240.429066</v>
      </c>
      <c r="F834" s="229"/>
      <c r="G834" s="229"/>
      <c r="H834" s="229">
        <v>609.160934</v>
      </c>
      <c r="I834" s="229">
        <v>609.160934</v>
      </c>
      <c r="J834" s="229"/>
      <c r="K834" s="229"/>
      <c r="L834" s="229"/>
      <c r="M834" s="229"/>
      <c r="N834" s="233" t="s">
        <v>578</v>
      </c>
    </row>
    <row r="835" hidden="1" spans="1:14">
      <c r="A835" s="235"/>
      <c r="B835" s="230" t="s">
        <v>1030</v>
      </c>
      <c r="C835" s="229">
        <v>4</v>
      </c>
      <c r="D835" s="229"/>
      <c r="E835" s="229"/>
      <c r="F835" s="229"/>
      <c r="G835" s="229"/>
      <c r="H835" s="229">
        <v>4</v>
      </c>
      <c r="I835" s="229">
        <v>4</v>
      </c>
      <c r="J835" s="229"/>
      <c r="K835" s="229"/>
      <c r="L835" s="229"/>
      <c r="M835" s="229"/>
      <c r="N835" s="232"/>
    </row>
    <row r="836" hidden="1" spans="1:14">
      <c r="A836" s="235"/>
      <c r="B836" s="230" t="s">
        <v>1064</v>
      </c>
      <c r="C836" s="229">
        <v>23.3</v>
      </c>
      <c r="D836" s="229">
        <v>11</v>
      </c>
      <c r="E836" s="229">
        <v>11</v>
      </c>
      <c r="F836" s="229"/>
      <c r="G836" s="229"/>
      <c r="H836" s="229">
        <v>12.3</v>
      </c>
      <c r="I836" s="229">
        <v>12.3</v>
      </c>
      <c r="J836" s="229"/>
      <c r="K836" s="229"/>
      <c r="L836" s="229"/>
      <c r="M836" s="229"/>
      <c r="N836" s="232"/>
    </row>
    <row r="837" hidden="1" spans="1:14">
      <c r="A837" s="235"/>
      <c r="B837" s="230" t="s">
        <v>1036</v>
      </c>
      <c r="C837" s="229">
        <v>30.43</v>
      </c>
      <c r="D837" s="229"/>
      <c r="E837" s="229"/>
      <c r="F837" s="229"/>
      <c r="G837" s="229"/>
      <c r="H837" s="229">
        <v>30.43</v>
      </c>
      <c r="I837" s="229">
        <v>30.43</v>
      </c>
      <c r="J837" s="229"/>
      <c r="K837" s="229"/>
      <c r="L837" s="229"/>
      <c r="M837" s="229"/>
      <c r="N837" s="232"/>
    </row>
    <row r="838" hidden="1" spans="1:14">
      <c r="A838" s="235"/>
      <c r="B838" s="230" t="s">
        <v>1032</v>
      </c>
      <c r="C838" s="229">
        <v>242.55</v>
      </c>
      <c r="D838" s="229">
        <v>189.65352</v>
      </c>
      <c r="E838" s="229">
        <v>189.65352</v>
      </c>
      <c r="F838" s="229"/>
      <c r="G838" s="229"/>
      <c r="H838" s="229">
        <v>52.89648</v>
      </c>
      <c r="I838" s="229">
        <v>52.89648</v>
      </c>
      <c r="J838" s="229"/>
      <c r="K838" s="229"/>
      <c r="L838" s="229"/>
      <c r="M838" s="229"/>
      <c r="N838" s="232"/>
    </row>
    <row r="839" hidden="1" spans="1:14">
      <c r="A839" s="235"/>
      <c r="B839" s="230" t="s">
        <v>1033</v>
      </c>
      <c r="C839" s="229">
        <v>97.59</v>
      </c>
      <c r="D839" s="229">
        <v>39.775546</v>
      </c>
      <c r="E839" s="229">
        <v>39.775546</v>
      </c>
      <c r="F839" s="229"/>
      <c r="G839" s="229"/>
      <c r="H839" s="229">
        <v>57.814454</v>
      </c>
      <c r="I839" s="229">
        <v>57.814454</v>
      </c>
      <c r="J839" s="229"/>
      <c r="K839" s="229"/>
      <c r="L839" s="229"/>
      <c r="M839" s="229"/>
      <c r="N839" s="232"/>
    </row>
    <row r="840" hidden="1" spans="1:14">
      <c r="A840" s="235"/>
      <c r="B840" s="230" t="s">
        <v>1029</v>
      </c>
      <c r="C840" s="229">
        <v>451.72</v>
      </c>
      <c r="D840" s="229"/>
      <c r="E840" s="229"/>
      <c r="F840" s="229"/>
      <c r="G840" s="229"/>
      <c r="H840" s="229">
        <v>451.72</v>
      </c>
      <c r="I840" s="229">
        <v>451.72</v>
      </c>
      <c r="J840" s="229"/>
      <c r="K840" s="229"/>
      <c r="L840" s="229"/>
      <c r="M840" s="229"/>
      <c r="N840" s="232"/>
    </row>
    <row r="841" spans="1:14">
      <c r="A841" s="227" t="s">
        <v>1084</v>
      </c>
      <c r="B841" s="231" t="s">
        <v>697</v>
      </c>
      <c r="C841" s="229">
        <v>418.562915</v>
      </c>
      <c r="D841" s="229">
        <v>418.562915</v>
      </c>
      <c r="E841" s="229">
        <v>418.562915</v>
      </c>
      <c r="F841" s="229"/>
      <c r="G841" s="229"/>
      <c r="H841" s="229"/>
      <c r="I841" s="229"/>
      <c r="J841" s="229"/>
      <c r="K841" s="229"/>
      <c r="L841" s="229"/>
      <c r="M841" s="229"/>
      <c r="N841" s="233" t="s">
        <v>578</v>
      </c>
    </row>
    <row r="842" hidden="1" spans="1:14">
      <c r="A842" s="235"/>
      <c r="B842" s="230" t="s">
        <v>1029</v>
      </c>
      <c r="C842" s="229">
        <v>25.742</v>
      </c>
      <c r="D842" s="229">
        <v>25.742</v>
      </c>
      <c r="E842" s="229">
        <v>25.742</v>
      </c>
      <c r="F842" s="229"/>
      <c r="G842" s="229"/>
      <c r="H842" s="229"/>
      <c r="I842" s="229"/>
      <c r="J842" s="229"/>
      <c r="K842" s="229"/>
      <c r="L842" s="229"/>
      <c r="M842" s="229"/>
      <c r="N842" s="232"/>
    </row>
    <row r="843" hidden="1" spans="1:14">
      <c r="A843" s="235"/>
      <c r="B843" s="230" t="s">
        <v>1036</v>
      </c>
      <c r="C843" s="229">
        <v>33.216528</v>
      </c>
      <c r="D843" s="229">
        <v>33.216528</v>
      </c>
      <c r="E843" s="229">
        <v>33.216528</v>
      </c>
      <c r="F843" s="229"/>
      <c r="G843" s="229"/>
      <c r="H843" s="229"/>
      <c r="I843" s="229"/>
      <c r="J843" s="229"/>
      <c r="K843" s="229"/>
      <c r="L843" s="229"/>
      <c r="M843" s="229"/>
      <c r="N843" s="232"/>
    </row>
    <row r="844" hidden="1" spans="1:14">
      <c r="A844" s="235"/>
      <c r="B844" s="230" t="s">
        <v>1039</v>
      </c>
      <c r="C844" s="229">
        <v>5.536088</v>
      </c>
      <c r="D844" s="229">
        <v>5.536088</v>
      </c>
      <c r="E844" s="229">
        <v>5.536088</v>
      </c>
      <c r="F844" s="229"/>
      <c r="G844" s="229"/>
      <c r="H844" s="229"/>
      <c r="I844" s="229"/>
      <c r="J844" s="229"/>
      <c r="K844" s="229"/>
      <c r="L844" s="229"/>
      <c r="M844" s="229"/>
      <c r="N844" s="232"/>
    </row>
    <row r="845" hidden="1" spans="1:14">
      <c r="A845" s="235"/>
      <c r="B845" s="230" t="s">
        <v>1027</v>
      </c>
      <c r="C845" s="229">
        <v>4</v>
      </c>
      <c r="D845" s="229">
        <v>4</v>
      </c>
      <c r="E845" s="229">
        <v>4</v>
      </c>
      <c r="F845" s="229"/>
      <c r="G845" s="229"/>
      <c r="H845" s="229"/>
      <c r="I845" s="229"/>
      <c r="J845" s="229"/>
      <c r="K845" s="229"/>
      <c r="L845" s="229"/>
      <c r="M845" s="229"/>
      <c r="N845" s="232"/>
    </row>
    <row r="846" hidden="1" spans="1:14">
      <c r="A846" s="235"/>
      <c r="B846" s="230" t="s">
        <v>1032</v>
      </c>
      <c r="C846" s="229">
        <v>276.8044</v>
      </c>
      <c r="D846" s="229">
        <v>276.8044</v>
      </c>
      <c r="E846" s="229">
        <v>276.8044</v>
      </c>
      <c r="F846" s="229"/>
      <c r="G846" s="229"/>
      <c r="H846" s="229"/>
      <c r="I846" s="229"/>
      <c r="J846" s="229"/>
      <c r="K846" s="229"/>
      <c r="L846" s="229"/>
      <c r="M846" s="229"/>
      <c r="N846" s="232"/>
    </row>
    <row r="847" hidden="1" spans="1:14">
      <c r="A847" s="235"/>
      <c r="B847" s="230" t="s">
        <v>1033</v>
      </c>
      <c r="C847" s="229">
        <v>73.263899</v>
      </c>
      <c r="D847" s="229">
        <v>73.263899</v>
      </c>
      <c r="E847" s="229">
        <v>73.263899</v>
      </c>
      <c r="F847" s="229"/>
      <c r="G847" s="229"/>
      <c r="H847" s="229"/>
      <c r="I847" s="229"/>
      <c r="J847" s="229"/>
      <c r="K847" s="229"/>
      <c r="L847" s="229"/>
      <c r="M847" s="229"/>
      <c r="N847" s="232"/>
    </row>
    <row r="848" spans="1:14">
      <c r="A848" s="227" t="s">
        <v>1085</v>
      </c>
      <c r="B848" s="231" t="s">
        <v>698</v>
      </c>
      <c r="C848" s="229">
        <v>103.811978</v>
      </c>
      <c r="D848" s="229">
        <v>103.811978</v>
      </c>
      <c r="E848" s="229">
        <v>103.811978</v>
      </c>
      <c r="F848" s="229"/>
      <c r="G848" s="229"/>
      <c r="H848" s="229"/>
      <c r="I848" s="229"/>
      <c r="J848" s="229"/>
      <c r="K848" s="229"/>
      <c r="L848" s="229"/>
      <c r="M848" s="229"/>
      <c r="N848" s="233" t="s">
        <v>578</v>
      </c>
    </row>
    <row r="849" hidden="1" spans="1:14">
      <c r="A849" s="235"/>
      <c r="B849" s="230" t="s">
        <v>1032</v>
      </c>
      <c r="C849" s="229">
        <v>62.6406</v>
      </c>
      <c r="D849" s="229">
        <v>62.6406</v>
      </c>
      <c r="E849" s="229">
        <v>62.6406</v>
      </c>
      <c r="F849" s="229"/>
      <c r="G849" s="229"/>
      <c r="H849" s="229"/>
      <c r="I849" s="229"/>
      <c r="J849" s="229"/>
      <c r="K849" s="229"/>
      <c r="L849" s="229"/>
      <c r="M849" s="229"/>
      <c r="N849" s="232"/>
    </row>
    <row r="850" hidden="1" spans="1:14">
      <c r="A850" s="235"/>
      <c r="B850" s="230" t="s">
        <v>1029</v>
      </c>
      <c r="C850" s="229">
        <v>12.155</v>
      </c>
      <c r="D850" s="229">
        <v>12.155</v>
      </c>
      <c r="E850" s="229">
        <v>12.155</v>
      </c>
      <c r="F850" s="229"/>
      <c r="G850" s="229"/>
      <c r="H850" s="229"/>
      <c r="I850" s="229"/>
      <c r="J850" s="229"/>
      <c r="K850" s="229"/>
      <c r="L850" s="229"/>
      <c r="M850" s="229"/>
      <c r="N850" s="232"/>
    </row>
    <row r="851" hidden="1" spans="1:14">
      <c r="A851" s="235"/>
      <c r="B851" s="230" t="s">
        <v>1036</v>
      </c>
      <c r="C851" s="229">
        <v>7.516872</v>
      </c>
      <c r="D851" s="229">
        <v>7.516872</v>
      </c>
      <c r="E851" s="229">
        <v>7.516872</v>
      </c>
      <c r="F851" s="229"/>
      <c r="G851" s="229"/>
      <c r="H851" s="229"/>
      <c r="I851" s="229"/>
      <c r="J851" s="229"/>
      <c r="K851" s="229"/>
      <c r="L851" s="229"/>
      <c r="M851" s="229"/>
      <c r="N851" s="232"/>
    </row>
    <row r="852" hidden="1" spans="1:14">
      <c r="A852" s="235"/>
      <c r="B852" s="230" t="s">
        <v>1031</v>
      </c>
      <c r="C852" s="229">
        <v>2.88</v>
      </c>
      <c r="D852" s="229">
        <v>2.88</v>
      </c>
      <c r="E852" s="229">
        <v>2.88</v>
      </c>
      <c r="F852" s="229"/>
      <c r="G852" s="229"/>
      <c r="H852" s="229"/>
      <c r="I852" s="229"/>
      <c r="J852" s="229"/>
      <c r="K852" s="229"/>
      <c r="L852" s="229"/>
      <c r="M852" s="229"/>
      <c r="N852" s="232"/>
    </row>
    <row r="853" hidden="1" spans="1:14">
      <c r="A853" s="235"/>
      <c r="B853" s="230" t="s">
        <v>1039</v>
      </c>
      <c r="C853" s="229">
        <v>1.252812</v>
      </c>
      <c r="D853" s="229">
        <v>1.252812</v>
      </c>
      <c r="E853" s="229">
        <v>1.252812</v>
      </c>
      <c r="F853" s="229"/>
      <c r="G853" s="229"/>
      <c r="H853" s="229"/>
      <c r="I853" s="229"/>
      <c r="J853" s="229"/>
      <c r="K853" s="229"/>
      <c r="L853" s="229"/>
      <c r="M853" s="229"/>
      <c r="N853" s="232"/>
    </row>
    <row r="854" hidden="1" spans="1:14">
      <c r="A854" s="235"/>
      <c r="B854" s="230" t="s">
        <v>1033</v>
      </c>
      <c r="C854" s="229">
        <v>17.366694</v>
      </c>
      <c r="D854" s="229">
        <v>17.366694</v>
      </c>
      <c r="E854" s="229">
        <v>17.366694</v>
      </c>
      <c r="F854" s="229"/>
      <c r="G854" s="229"/>
      <c r="H854" s="229"/>
      <c r="I854" s="229"/>
      <c r="J854" s="229"/>
      <c r="K854" s="229"/>
      <c r="L854" s="229"/>
      <c r="M854" s="229"/>
      <c r="N854" s="232"/>
    </row>
    <row r="855" spans="1:14">
      <c r="A855" s="225"/>
      <c r="B855" s="226" t="s">
        <v>699</v>
      </c>
      <c r="C855" s="205">
        <v>16951.574094</v>
      </c>
      <c r="D855" s="205">
        <v>16951.574094</v>
      </c>
      <c r="E855" s="205">
        <v>16790.060409</v>
      </c>
      <c r="F855" s="205">
        <v>161.513685</v>
      </c>
      <c r="G855" s="229"/>
      <c r="H855" s="229"/>
      <c r="I855" s="229"/>
      <c r="J855" s="229"/>
      <c r="K855" s="229"/>
      <c r="L855" s="229"/>
      <c r="M855" s="229"/>
      <c r="N855" s="232" t="s">
        <v>578</v>
      </c>
    </row>
    <row r="856" spans="1:14">
      <c r="A856" s="227">
        <v>301001</v>
      </c>
      <c r="B856" s="231" t="s">
        <v>700</v>
      </c>
      <c r="C856" s="229">
        <v>1637.391597</v>
      </c>
      <c r="D856" s="229">
        <v>1637.391597</v>
      </c>
      <c r="E856" s="229">
        <v>1637.391597</v>
      </c>
      <c r="F856" s="229"/>
      <c r="G856" s="229"/>
      <c r="H856" s="229"/>
      <c r="I856" s="229"/>
      <c r="J856" s="229"/>
      <c r="K856" s="229"/>
      <c r="L856" s="229"/>
      <c r="M856" s="229"/>
      <c r="N856" s="233" t="s">
        <v>578</v>
      </c>
    </row>
    <row r="857" hidden="1" spans="1:14">
      <c r="A857" s="235"/>
      <c r="B857" s="230" t="s">
        <v>1030</v>
      </c>
      <c r="C857" s="229">
        <v>4</v>
      </c>
      <c r="D857" s="229">
        <v>4</v>
      </c>
      <c r="E857" s="229">
        <v>4</v>
      </c>
      <c r="F857" s="229"/>
      <c r="G857" s="229"/>
      <c r="H857" s="229"/>
      <c r="I857" s="229"/>
      <c r="J857" s="229"/>
      <c r="K857" s="229"/>
      <c r="L857" s="229"/>
      <c r="M857" s="229"/>
      <c r="N857" s="232"/>
    </row>
    <row r="858" hidden="1" spans="1:14">
      <c r="A858" s="235"/>
      <c r="B858" s="230" t="s">
        <v>1033</v>
      </c>
      <c r="C858" s="229">
        <v>278.426483</v>
      </c>
      <c r="D858" s="229">
        <v>278.426483</v>
      </c>
      <c r="E858" s="229">
        <v>278.426483</v>
      </c>
      <c r="F858" s="229"/>
      <c r="G858" s="229"/>
      <c r="H858" s="229"/>
      <c r="I858" s="229"/>
      <c r="J858" s="229"/>
      <c r="K858" s="229"/>
      <c r="L858" s="229"/>
      <c r="M858" s="229"/>
      <c r="N858" s="232"/>
    </row>
    <row r="859" hidden="1" spans="1:14">
      <c r="A859" s="235"/>
      <c r="B859" s="230" t="s">
        <v>1035</v>
      </c>
      <c r="C859" s="229">
        <v>8.9</v>
      </c>
      <c r="D859" s="229">
        <v>8.9</v>
      </c>
      <c r="E859" s="229">
        <v>8.9</v>
      </c>
      <c r="F859" s="229"/>
      <c r="G859" s="229"/>
      <c r="H859" s="229"/>
      <c r="I859" s="229"/>
      <c r="J859" s="229"/>
      <c r="K859" s="229"/>
      <c r="L859" s="229"/>
      <c r="M859" s="229"/>
      <c r="N859" s="232"/>
    </row>
    <row r="860" hidden="1" spans="1:14">
      <c r="A860" s="235"/>
      <c r="B860" s="230" t="s">
        <v>1029</v>
      </c>
      <c r="C860" s="229">
        <v>84.18</v>
      </c>
      <c r="D860" s="229">
        <v>84.18</v>
      </c>
      <c r="E860" s="229">
        <v>84.18</v>
      </c>
      <c r="F860" s="229"/>
      <c r="G860" s="229"/>
      <c r="H860" s="229"/>
      <c r="I860" s="229"/>
      <c r="J860" s="229"/>
      <c r="K860" s="229"/>
      <c r="L860" s="229"/>
      <c r="M860" s="229"/>
      <c r="N860" s="232"/>
    </row>
    <row r="861" hidden="1" spans="1:14">
      <c r="A861" s="235"/>
      <c r="B861" s="230" t="s">
        <v>1028</v>
      </c>
      <c r="C861" s="229">
        <v>269.322</v>
      </c>
      <c r="D861" s="229">
        <v>269.322</v>
      </c>
      <c r="E861" s="229">
        <v>269.322</v>
      </c>
      <c r="F861" s="229"/>
      <c r="G861" s="229"/>
      <c r="H861" s="229"/>
      <c r="I861" s="229"/>
      <c r="J861" s="229"/>
      <c r="K861" s="229"/>
      <c r="L861" s="229"/>
      <c r="M861" s="229"/>
      <c r="N861" s="232"/>
    </row>
    <row r="862" hidden="1" spans="1:14">
      <c r="A862" s="235"/>
      <c r="B862" s="230" t="s">
        <v>1037</v>
      </c>
      <c r="C862" s="229">
        <v>8.724054</v>
      </c>
      <c r="D862" s="229">
        <v>8.724054</v>
      </c>
      <c r="E862" s="229">
        <v>8.724054</v>
      </c>
      <c r="F862" s="229"/>
      <c r="G862" s="229"/>
      <c r="H862" s="229"/>
      <c r="I862" s="229"/>
      <c r="J862" s="229"/>
      <c r="K862" s="229"/>
      <c r="L862" s="229"/>
      <c r="M862" s="229"/>
      <c r="N862" s="232"/>
    </row>
    <row r="863" hidden="1" spans="1:14">
      <c r="A863" s="235"/>
      <c r="B863" s="230" t="s">
        <v>1038</v>
      </c>
      <c r="C863" s="229">
        <v>2.09</v>
      </c>
      <c r="D863" s="229">
        <v>2.09</v>
      </c>
      <c r="E863" s="229">
        <v>2.09</v>
      </c>
      <c r="F863" s="229"/>
      <c r="G863" s="229"/>
      <c r="H863" s="229"/>
      <c r="I863" s="229"/>
      <c r="J863" s="229"/>
      <c r="K863" s="229"/>
      <c r="L863" s="229"/>
      <c r="M863" s="229"/>
      <c r="N863" s="232"/>
    </row>
    <row r="864" hidden="1" spans="1:14">
      <c r="A864" s="235"/>
      <c r="B864" s="230" t="s">
        <v>1042</v>
      </c>
      <c r="C864" s="229">
        <v>0.17</v>
      </c>
      <c r="D864" s="229">
        <v>0.17</v>
      </c>
      <c r="E864" s="229">
        <v>0.17</v>
      </c>
      <c r="F864" s="229"/>
      <c r="G864" s="229"/>
      <c r="H864" s="229"/>
      <c r="I864" s="229"/>
      <c r="J864" s="229"/>
      <c r="K864" s="229"/>
      <c r="L864" s="229"/>
      <c r="M864" s="229"/>
      <c r="N864" s="232"/>
    </row>
    <row r="865" hidden="1" spans="1:14">
      <c r="A865" s="235"/>
      <c r="B865" s="230" t="s">
        <v>1039</v>
      </c>
      <c r="C865" s="229">
        <v>16.66858</v>
      </c>
      <c r="D865" s="229">
        <v>16.66858</v>
      </c>
      <c r="E865" s="229">
        <v>16.66858</v>
      </c>
      <c r="F865" s="229"/>
      <c r="G865" s="229"/>
      <c r="H865" s="229"/>
      <c r="I865" s="229"/>
      <c r="J865" s="229"/>
      <c r="K865" s="229"/>
      <c r="L865" s="229"/>
      <c r="M865" s="229"/>
      <c r="N865" s="232"/>
    </row>
    <row r="866" hidden="1" spans="1:14">
      <c r="A866" s="235"/>
      <c r="B866" s="230" t="s">
        <v>1036</v>
      </c>
      <c r="C866" s="229">
        <v>100.01148</v>
      </c>
      <c r="D866" s="229">
        <v>100.01148</v>
      </c>
      <c r="E866" s="229">
        <v>100.01148</v>
      </c>
      <c r="F866" s="229"/>
      <c r="G866" s="229"/>
      <c r="H866" s="229"/>
      <c r="I866" s="229"/>
      <c r="J866" s="229"/>
      <c r="K866" s="229"/>
      <c r="L866" s="229"/>
      <c r="M866" s="229"/>
      <c r="N866" s="232"/>
    </row>
    <row r="867" hidden="1" spans="1:14">
      <c r="A867" s="235"/>
      <c r="B867" s="230" t="s">
        <v>1034</v>
      </c>
      <c r="C867" s="229">
        <v>3.042</v>
      </c>
      <c r="D867" s="229">
        <v>3.042</v>
      </c>
      <c r="E867" s="229">
        <v>3.042</v>
      </c>
      <c r="F867" s="229"/>
      <c r="G867" s="229"/>
      <c r="H867" s="229"/>
      <c r="I867" s="229"/>
      <c r="J867" s="229"/>
      <c r="K867" s="229"/>
      <c r="L867" s="229"/>
      <c r="M867" s="229"/>
      <c r="N867" s="232"/>
    </row>
    <row r="868" hidden="1" spans="1:14">
      <c r="A868" s="235"/>
      <c r="B868" s="230" t="s">
        <v>1027</v>
      </c>
      <c r="C868" s="229">
        <v>12</v>
      </c>
      <c r="D868" s="229">
        <v>12</v>
      </c>
      <c r="E868" s="229">
        <v>12</v>
      </c>
      <c r="F868" s="229"/>
      <c r="G868" s="229"/>
      <c r="H868" s="229"/>
      <c r="I868" s="229"/>
      <c r="J868" s="229"/>
      <c r="K868" s="229"/>
      <c r="L868" s="229"/>
      <c r="M868" s="229"/>
      <c r="N868" s="232"/>
    </row>
    <row r="869" hidden="1" spans="1:14">
      <c r="A869" s="235"/>
      <c r="B869" s="230" t="s">
        <v>1032</v>
      </c>
      <c r="C869" s="229">
        <v>833.429</v>
      </c>
      <c r="D869" s="229">
        <v>833.429</v>
      </c>
      <c r="E869" s="229">
        <v>833.429</v>
      </c>
      <c r="F869" s="229"/>
      <c r="G869" s="229"/>
      <c r="H869" s="229"/>
      <c r="I869" s="229"/>
      <c r="J869" s="229"/>
      <c r="K869" s="229"/>
      <c r="L869" s="229"/>
      <c r="M869" s="229"/>
      <c r="N869" s="232"/>
    </row>
    <row r="870" hidden="1" spans="1:14">
      <c r="A870" s="235"/>
      <c r="B870" s="230" t="s">
        <v>1031</v>
      </c>
      <c r="C870" s="229">
        <v>16.428</v>
      </c>
      <c r="D870" s="229">
        <v>16.428</v>
      </c>
      <c r="E870" s="229">
        <v>16.428</v>
      </c>
      <c r="F870" s="229"/>
      <c r="G870" s="229"/>
      <c r="H870" s="229"/>
      <c r="I870" s="229"/>
      <c r="J870" s="229"/>
      <c r="K870" s="229"/>
      <c r="L870" s="229"/>
      <c r="M870" s="229"/>
      <c r="N870" s="232"/>
    </row>
    <row r="871" spans="1:14">
      <c r="A871" s="227">
        <v>302001</v>
      </c>
      <c r="B871" s="231" t="s">
        <v>701</v>
      </c>
      <c r="C871" s="229">
        <v>3485.284423</v>
      </c>
      <c r="D871" s="229">
        <v>3485.284423</v>
      </c>
      <c r="E871" s="229">
        <v>3485.284423</v>
      </c>
      <c r="F871" s="229"/>
      <c r="G871" s="229"/>
      <c r="H871" s="229"/>
      <c r="I871" s="229"/>
      <c r="J871" s="229"/>
      <c r="K871" s="229"/>
      <c r="L871" s="229"/>
      <c r="M871" s="229"/>
      <c r="N871" s="233" t="s">
        <v>578</v>
      </c>
    </row>
    <row r="872" hidden="1" spans="1:14">
      <c r="A872" s="235"/>
      <c r="B872" s="230" t="s">
        <v>1046</v>
      </c>
      <c r="C872" s="229">
        <v>4.008</v>
      </c>
      <c r="D872" s="229">
        <v>4.008</v>
      </c>
      <c r="E872" s="229">
        <v>4.008</v>
      </c>
      <c r="F872" s="229"/>
      <c r="G872" s="229"/>
      <c r="H872" s="229"/>
      <c r="I872" s="229"/>
      <c r="J872" s="229"/>
      <c r="K872" s="229"/>
      <c r="L872" s="229"/>
      <c r="M872" s="229"/>
      <c r="N872" s="232"/>
    </row>
    <row r="873" hidden="1" spans="1:14">
      <c r="A873" s="235"/>
      <c r="B873" s="230" t="s">
        <v>1027</v>
      </c>
      <c r="C873" s="229">
        <v>14</v>
      </c>
      <c r="D873" s="229">
        <v>14</v>
      </c>
      <c r="E873" s="229">
        <v>14</v>
      </c>
      <c r="F873" s="229"/>
      <c r="G873" s="229"/>
      <c r="H873" s="229"/>
      <c r="I873" s="229"/>
      <c r="J873" s="229"/>
      <c r="K873" s="229"/>
      <c r="L873" s="229"/>
      <c r="M873" s="229"/>
      <c r="N873" s="232"/>
    </row>
    <row r="874" hidden="1" spans="1:14">
      <c r="A874" s="235"/>
      <c r="B874" s="230" t="s">
        <v>1038</v>
      </c>
      <c r="C874" s="229">
        <v>2.1</v>
      </c>
      <c r="D874" s="229">
        <v>2.1</v>
      </c>
      <c r="E874" s="229">
        <v>2.1</v>
      </c>
      <c r="F874" s="229"/>
      <c r="G874" s="229"/>
      <c r="H874" s="229"/>
      <c r="I874" s="229"/>
      <c r="J874" s="229"/>
      <c r="K874" s="229"/>
      <c r="L874" s="229"/>
      <c r="M874" s="229"/>
      <c r="N874" s="232"/>
    </row>
    <row r="875" hidden="1" spans="1:14">
      <c r="A875" s="235"/>
      <c r="B875" s="230" t="s">
        <v>1032</v>
      </c>
      <c r="C875" s="229">
        <v>1964.6578</v>
      </c>
      <c r="D875" s="229">
        <v>1964.6578</v>
      </c>
      <c r="E875" s="229">
        <v>1964.6578</v>
      </c>
      <c r="F875" s="229"/>
      <c r="G875" s="229"/>
      <c r="H875" s="229"/>
      <c r="I875" s="229"/>
      <c r="J875" s="229"/>
      <c r="K875" s="229"/>
      <c r="L875" s="229"/>
      <c r="M875" s="229"/>
      <c r="N875" s="232"/>
    </row>
    <row r="876" hidden="1" spans="1:14">
      <c r="A876" s="235"/>
      <c r="B876" s="230" t="s">
        <v>1029</v>
      </c>
      <c r="C876" s="229">
        <v>188.4025</v>
      </c>
      <c r="D876" s="229">
        <v>188.4025</v>
      </c>
      <c r="E876" s="229">
        <v>188.4025</v>
      </c>
      <c r="F876" s="229"/>
      <c r="G876" s="229"/>
      <c r="H876" s="229"/>
      <c r="I876" s="229"/>
      <c r="J876" s="229"/>
      <c r="K876" s="229"/>
      <c r="L876" s="229"/>
      <c r="M876" s="229"/>
      <c r="N876" s="232"/>
    </row>
    <row r="877" hidden="1" spans="1:14">
      <c r="A877" s="235"/>
      <c r="B877" s="230" t="s">
        <v>1035</v>
      </c>
      <c r="C877" s="229">
        <v>11.94</v>
      </c>
      <c r="D877" s="229">
        <v>11.94</v>
      </c>
      <c r="E877" s="229">
        <v>11.94</v>
      </c>
      <c r="F877" s="229"/>
      <c r="G877" s="229"/>
      <c r="H877" s="229"/>
      <c r="I877" s="229"/>
      <c r="J877" s="229"/>
      <c r="K877" s="229"/>
      <c r="L877" s="229"/>
      <c r="M877" s="229"/>
      <c r="N877" s="232"/>
    </row>
    <row r="878" hidden="1" spans="1:14">
      <c r="A878" s="235"/>
      <c r="B878" s="230" t="s">
        <v>1036</v>
      </c>
      <c r="C878" s="229">
        <v>235.758936</v>
      </c>
      <c r="D878" s="229">
        <v>235.758936</v>
      </c>
      <c r="E878" s="229">
        <v>235.758936</v>
      </c>
      <c r="F878" s="229"/>
      <c r="G878" s="229"/>
      <c r="H878" s="229"/>
      <c r="I878" s="229"/>
      <c r="J878" s="229"/>
      <c r="K878" s="229"/>
      <c r="L878" s="229"/>
      <c r="M878" s="229"/>
      <c r="N878" s="232"/>
    </row>
    <row r="879" hidden="1" spans="1:14">
      <c r="A879" s="235"/>
      <c r="B879" s="230" t="s">
        <v>1037</v>
      </c>
      <c r="C879" s="229">
        <v>23.92257</v>
      </c>
      <c r="D879" s="229">
        <v>23.92257</v>
      </c>
      <c r="E879" s="229">
        <v>23.92257</v>
      </c>
      <c r="F879" s="229"/>
      <c r="G879" s="229"/>
      <c r="H879" s="229"/>
      <c r="I879" s="229"/>
      <c r="J879" s="229"/>
      <c r="K879" s="229"/>
      <c r="L879" s="229"/>
      <c r="M879" s="229"/>
      <c r="N879" s="232"/>
    </row>
    <row r="880" hidden="1" spans="1:14">
      <c r="A880" s="235"/>
      <c r="B880" s="230" t="s">
        <v>1033</v>
      </c>
      <c r="C880" s="229">
        <v>601.874661</v>
      </c>
      <c r="D880" s="229">
        <v>601.874661</v>
      </c>
      <c r="E880" s="229">
        <v>601.874661</v>
      </c>
      <c r="F880" s="229"/>
      <c r="G880" s="229"/>
      <c r="H880" s="229"/>
      <c r="I880" s="229"/>
      <c r="J880" s="229"/>
      <c r="K880" s="229"/>
      <c r="L880" s="229"/>
      <c r="M880" s="229"/>
      <c r="N880" s="232"/>
    </row>
    <row r="881" hidden="1" spans="1:14">
      <c r="A881" s="235"/>
      <c r="B881" s="230" t="s">
        <v>1039</v>
      </c>
      <c r="C881" s="229">
        <v>39.293156</v>
      </c>
      <c r="D881" s="229">
        <v>39.293156</v>
      </c>
      <c r="E881" s="229">
        <v>39.293156</v>
      </c>
      <c r="F881" s="229"/>
      <c r="G881" s="229"/>
      <c r="H881" s="229"/>
      <c r="I881" s="229"/>
      <c r="J881" s="229"/>
      <c r="K881" s="229"/>
      <c r="L881" s="229"/>
      <c r="M881" s="229"/>
      <c r="N881" s="232"/>
    </row>
    <row r="882" hidden="1" spans="1:14">
      <c r="A882" s="235"/>
      <c r="B882" s="230" t="s">
        <v>1031</v>
      </c>
      <c r="C882" s="229">
        <v>25.716</v>
      </c>
      <c r="D882" s="229">
        <v>25.716</v>
      </c>
      <c r="E882" s="229">
        <v>25.716</v>
      </c>
      <c r="F882" s="229"/>
      <c r="G882" s="229"/>
      <c r="H882" s="229"/>
      <c r="I882" s="229"/>
      <c r="J882" s="229"/>
      <c r="K882" s="229"/>
      <c r="L882" s="229"/>
      <c r="M882" s="229"/>
      <c r="N882" s="232"/>
    </row>
    <row r="883" hidden="1" spans="1:14">
      <c r="A883" s="235"/>
      <c r="B883" s="230" t="s">
        <v>1030</v>
      </c>
      <c r="C883" s="229">
        <v>4</v>
      </c>
      <c r="D883" s="229">
        <v>4</v>
      </c>
      <c r="E883" s="229">
        <v>4</v>
      </c>
      <c r="F883" s="229"/>
      <c r="G883" s="229"/>
      <c r="H883" s="229"/>
      <c r="I883" s="229"/>
      <c r="J883" s="229"/>
      <c r="K883" s="229"/>
      <c r="L883" s="229"/>
      <c r="M883" s="229"/>
      <c r="N883" s="232"/>
    </row>
    <row r="884" hidden="1" spans="1:14">
      <c r="A884" s="235"/>
      <c r="B884" s="230" t="s">
        <v>1034</v>
      </c>
      <c r="C884" s="229">
        <v>6.084</v>
      </c>
      <c r="D884" s="229">
        <v>6.084</v>
      </c>
      <c r="E884" s="229">
        <v>6.084</v>
      </c>
      <c r="F884" s="229"/>
      <c r="G884" s="229"/>
      <c r="H884" s="229"/>
      <c r="I884" s="229"/>
      <c r="J884" s="229"/>
      <c r="K884" s="229"/>
      <c r="L884" s="229"/>
      <c r="M884" s="229"/>
      <c r="N884" s="232"/>
    </row>
    <row r="885" hidden="1" spans="1:14">
      <c r="A885" s="235"/>
      <c r="B885" s="230" t="s">
        <v>1028</v>
      </c>
      <c r="C885" s="229">
        <v>363.5268</v>
      </c>
      <c r="D885" s="229">
        <v>363.5268</v>
      </c>
      <c r="E885" s="229">
        <v>363.5268</v>
      </c>
      <c r="F885" s="229"/>
      <c r="G885" s="229"/>
      <c r="H885" s="229"/>
      <c r="I885" s="229"/>
      <c r="J885" s="229"/>
      <c r="K885" s="229"/>
      <c r="L885" s="229"/>
      <c r="M885" s="229"/>
      <c r="N885" s="232"/>
    </row>
    <row r="886" spans="1:14">
      <c r="A886" s="227">
        <v>302007</v>
      </c>
      <c r="B886" s="231" t="s">
        <v>702</v>
      </c>
      <c r="C886" s="229">
        <v>260.039681</v>
      </c>
      <c r="D886" s="229">
        <v>260.039681</v>
      </c>
      <c r="E886" s="229">
        <v>260.039681</v>
      </c>
      <c r="F886" s="229"/>
      <c r="G886" s="229"/>
      <c r="H886" s="229"/>
      <c r="I886" s="229"/>
      <c r="J886" s="229"/>
      <c r="K886" s="229"/>
      <c r="L886" s="229"/>
      <c r="M886" s="229"/>
      <c r="N886" s="233" t="s">
        <v>578</v>
      </c>
    </row>
    <row r="887" hidden="1" spans="1:14">
      <c r="A887" s="235"/>
      <c r="B887" s="230" t="s">
        <v>1036</v>
      </c>
      <c r="C887" s="229">
        <v>20.299176</v>
      </c>
      <c r="D887" s="229">
        <v>20.299176</v>
      </c>
      <c r="E887" s="229">
        <v>20.299176</v>
      </c>
      <c r="F887" s="229"/>
      <c r="G887" s="229"/>
      <c r="H887" s="229"/>
      <c r="I887" s="229"/>
      <c r="J887" s="229"/>
      <c r="K887" s="229"/>
      <c r="L887" s="229"/>
      <c r="M887" s="229"/>
      <c r="N887" s="232"/>
    </row>
    <row r="888" hidden="1" spans="1:14">
      <c r="A888" s="235"/>
      <c r="B888" s="230" t="s">
        <v>1027</v>
      </c>
      <c r="C888" s="229">
        <v>6</v>
      </c>
      <c r="D888" s="229">
        <v>6</v>
      </c>
      <c r="E888" s="229">
        <v>6</v>
      </c>
      <c r="F888" s="229"/>
      <c r="G888" s="229"/>
      <c r="H888" s="229"/>
      <c r="I888" s="229"/>
      <c r="J888" s="229"/>
      <c r="K888" s="229"/>
      <c r="L888" s="229"/>
      <c r="M888" s="229"/>
      <c r="N888" s="232"/>
    </row>
    <row r="889" hidden="1" spans="1:14">
      <c r="A889" s="235"/>
      <c r="B889" s="230" t="s">
        <v>1039</v>
      </c>
      <c r="C889" s="229">
        <v>3.383196</v>
      </c>
      <c r="D889" s="229">
        <v>3.383196</v>
      </c>
      <c r="E889" s="229">
        <v>3.383196</v>
      </c>
      <c r="F889" s="229"/>
      <c r="G889" s="229"/>
      <c r="H889" s="229"/>
      <c r="I889" s="229"/>
      <c r="J889" s="229"/>
      <c r="K889" s="229"/>
      <c r="L889" s="229"/>
      <c r="M889" s="229"/>
      <c r="N889" s="232"/>
    </row>
    <row r="890" hidden="1" spans="1:14">
      <c r="A890" s="235"/>
      <c r="B890" s="230" t="s">
        <v>1028</v>
      </c>
      <c r="C890" s="229">
        <v>2.94</v>
      </c>
      <c r="D890" s="229">
        <v>2.94</v>
      </c>
      <c r="E890" s="229">
        <v>2.94</v>
      </c>
      <c r="F890" s="229"/>
      <c r="G890" s="229"/>
      <c r="H890" s="229"/>
      <c r="I890" s="229"/>
      <c r="J890" s="229"/>
      <c r="K890" s="229"/>
      <c r="L890" s="229"/>
      <c r="M890" s="229"/>
      <c r="N890" s="232"/>
    </row>
    <row r="891" hidden="1" spans="1:14">
      <c r="A891" s="235"/>
      <c r="B891" s="230" t="s">
        <v>1038</v>
      </c>
      <c r="C891" s="229">
        <v>0.03</v>
      </c>
      <c r="D891" s="229">
        <v>0.03</v>
      </c>
      <c r="E891" s="229">
        <v>0.03</v>
      </c>
      <c r="F891" s="229"/>
      <c r="G891" s="229"/>
      <c r="H891" s="229"/>
      <c r="I891" s="229"/>
      <c r="J891" s="229"/>
      <c r="K891" s="229"/>
      <c r="L891" s="229"/>
      <c r="M891" s="229"/>
      <c r="N891" s="232"/>
    </row>
    <row r="892" hidden="1" spans="1:14">
      <c r="A892" s="235"/>
      <c r="B892" s="230" t="s">
        <v>1029</v>
      </c>
      <c r="C892" s="229">
        <v>11.305</v>
      </c>
      <c r="D892" s="229">
        <v>11.305</v>
      </c>
      <c r="E892" s="229">
        <v>11.305</v>
      </c>
      <c r="F892" s="229"/>
      <c r="G892" s="229"/>
      <c r="H892" s="229"/>
      <c r="I892" s="229"/>
      <c r="J892" s="229"/>
      <c r="K892" s="229"/>
      <c r="L892" s="229"/>
      <c r="M892" s="229"/>
      <c r="N892" s="232"/>
    </row>
    <row r="893" hidden="1" spans="1:14">
      <c r="A893" s="235"/>
      <c r="B893" s="230" t="s">
        <v>1035</v>
      </c>
      <c r="C893" s="229">
        <v>0.1</v>
      </c>
      <c r="D893" s="229">
        <v>0.1</v>
      </c>
      <c r="E893" s="229">
        <v>0.1</v>
      </c>
      <c r="F893" s="229"/>
      <c r="G893" s="229"/>
      <c r="H893" s="229"/>
      <c r="I893" s="229"/>
      <c r="J893" s="229"/>
      <c r="K893" s="229"/>
      <c r="L893" s="229"/>
      <c r="M893" s="229"/>
      <c r="N893" s="232"/>
    </row>
    <row r="894" hidden="1" spans="1:14">
      <c r="A894" s="235"/>
      <c r="B894" s="230" t="s">
        <v>1032</v>
      </c>
      <c r="C894" s="229">
        <v>169.159804</v>
      </c>
      <c r="D894" s="229">
        <v>169.159804</v>
      </c>
      <c r="E894" s="229">
        <v>169.159804</v>
      </c>
      <c r="F894" s="229"/>
      <c r="G894" s="229"/>
      <c r="H894" s="229"/>
      <c r="I894" s="229"/>
      <c r="J894" s="229"/>
      <c r="K894" s="229"/>
      <c r="L894" s="229"/>
      <c r="M894" s="229"/>
      <c r="N894" s="232"/>
    </row>
    <row r="895" hidden="1" spans="1:14">
      <c r="A895" s="235"/>
      <c r="B895" s="230" t="s">
        <v>1033</v>
      </c>
      <c r="C895" s="229">
        <v>46.749005</v>
      </c>
      <c r="D895" s="229">
        <v>46.749005</v>
      </c>
      <c r="E895" s="229">
        <v>46.749005</v>
      </c>
      <c r="F895" s="229"/>
      <c r="G895" s="229"/>
      <c r="H895" s="229"/>
      <c r="I895" s="229"/>
      <c r="J895" s="229"/>
      <c r="K895" s="229"/>
      <c r="L895" s="229"/>
      <c r="M895" s="229"/>
      <c r="N895" s="232"/>
    </row>
    <row r="896" hidden="1" spans="1:14">
      <c r="A896" s="235"/>
      <c r="B896" s="230" t="s">
        <v>1037</v>
      </c>
      <c r="C896" s="229">
        <v>0.0735</v>
      </c>
      <c r="D896" s="229">
        <v>0.0735</v>
      </c>
      <c r="E896" s="229">
        <v>0.0735</v>
      </c>
      <c r="F896" s="229"/>
      <c r="G896" s="229"/>
      <c r="H896" s="229"/>
      <c r="I896" s="229"/>
      <c r="J896" s="229"/>
      <c r="K896" s="229"/>
      <c r="L896" s="229"/>
      <c r="M896" s="229"/>
      <c r="N896" s="232"/>
    </row>
    <row r="897" spans="1:14">
      <c r="A897" s="227">
        <v>302008</v>
      </c>
      <c r="B897" s="231" t="s">
        <v>703</v>
      </c>
      <c r="C897" s="229">
        <v>142.1021</v>
      </c>
      <c r="D897" s="229">
        <v>142.1021</v>
      </c>
      <c r="E897" s="229"/>
      <c r="F897" s="229">
        <v>142.1021</v>
      </c>
      <c r="G897" s="229"/>
      <c r="H897" s="229"/>
      <c r="I897" s="229"/>
      <c r="J897" s="229"/>
      <c r="K897" s="229"/>
      <c r="L897" s="229"/>
      <c r="M897" s="229"/>
      <c r="N897" s="233" t="s">
        <v>578</v>
      </c>
    </row>
    <row r="898" hidden="1" spans="1:14">
      <c r="A898" s="235"/>
      <c r="B898" s="230" t="s">
        <v>1039</v>
      </c>
      <c r="C898" s="229">
        <v>1.4403</v>
      </c>
      <c r="D898" s="229">
        <v>1.4403</v>
      </c>
      <c r="E898" s="229"/>
      <c r="F898" s="229">
        <v>1.4403</v>
      </c>
      <c r="G898" s="229"/>
      <c r="H898" s="229"/>
      <c r="I898" s="229"/>
      <c r="J898" s="229"/>
      <c r="K898" s="229"/>
      <c r="L898" s="229"/>
      <c r="M898" s="229"/>
      <c r="N898" s="232"/>
    </row>
    <row r="899" hidden="1" spans="1:14">
      <c r="A899" s="235"/>
      <c r="B899" s="230" t="s">
        <v>1032</v>
      </c>
      <c r="C899" s="229">
        <v>72.0154</v>
      </c>
      <c r="D899" s="229">
        <v>72.0154</v>
      </c>
      <c r="E899" s="229"/>
      <c r="F899" s="229">
        <v>72.0154</v>
      </c>
      <c r="G899" s="229"/>
      <c r="H899" s="229"/>
      <c r="I899" s="229"/>
      <c r="J899" s="229"/>
      <c r="K899" s="229"/>
      <c r="L899" s="229"/>
      <c r="M899" s="229"/>
      <c r="N899" s="232"/>
    </row>
    <row r="900" hidden="1" spans="1:14">
      <c r="A900" s="235"/>
      <c r="B900" s="230" t="s">
        <v>1033</v>
      </c>
      <c r="C900" s="229">
        <v>25.0481</v>
      </c>
      <c r="D900" s="229">
        <v>25.0481</v>
      </c>
      <c r="E900" s="229"/>
      <c r="F900" s="229">
        <v>25.0481</v>
      </c>
      <c r="G900" s="229"/>
      <c r="H900" s="229"/>
      <c r="I900" s="229"/>
      <c r="J900" s="229"/>
      <c r="K900" s="229"/>
      <c r="L900" s="229"/>
      <c r="M900" s="229"/>
      <c r="N900" s="232"/>
    </row>
    <row r="901" hidden="1" spans="1:14">
      <c r="A901" s="235"/>
      <c r="B901" s="230" t="s">
        <v>1035</v>
      </c>
      <c r="C901" s="229">
        <v>0.9</v>
      </c>
      <c r="D901" s="229">
        <v>0.9</v>
      </c>
      <c r="E901" s="229"/>
      <c r="F901" s="229">
        <v>0.9</v>
      </c>
      <c r="G901" s="229"/>
      <c r="H901" s="229"/>
      <c r="I901" s="229"/>
      <c r="J901" s="229"/>
      <c r="K901" s="229"/>
      <c r="L901" s="229"/>
      <c r="M901" s="229"/>
      <c r="N901" s="232"/>
    </row>
    <row r="902" hidden="1" spans="1:14">
      <c r="A902" s="235"/>
      <c r="B902" s="230" t="s">
        <v>1027</v>
      </c>
      <c r="C902" s="229">
        <v>2</v>
      </c>
      <c r="D902" s="229">
        <v>2</v>
      </c>
      <c r="E902" s="229"/>
      <c r="F902" s="229">
        <v>2</v>
      </c>
      <c r="G902" s="229"/>
      <c r="H902" s="229"/>
      <c r="I902" s="229"/>
      <c r="J902" s="229"/>
      <c r="K902" s="229"/>
      <c r="L902" s="229"/>
      <c r="M902" s="229"/>
      <c r="N902" s="232"/>
    </row>
    <row r="903" hidden="1" spans="1:14">
      <c r="A903" s="235"/>
      <c r="B903" s="230" t="s">
        <v>1036</v>
      </c>
      <c r="C903" s="229">
        <v>8.6418</v>
      </c>
      <c r="D903" s="229">
        <v>8.6418</v>
      </c>
      <c r="E903" s="229"/>
      <c r="F903" s="229">
        <v>8.6418</v>
      </c>
      <c r="G903" s="229"/>
      <c r="H903" s="229"/>
      <c r="I903" s="229"/>
      <c r="J903" s="229"/>
      <c r="K903" s="229"/>
      <c r="L903" s="229"/>
      <c r="M903" s="229"/>
      <c r="N903" s="232"/>
    </row>
    <row r="904" hidden="1" spans="1:14">
      <c r="A904" s="235"/>
      <c r="B904" s="230" t="s">
        <v>1037</v>
      </c>
      <c r="C904" s="229">
        <v>27.1215</v>
      </c>
      <c r="D904" s="229">
        <v>27.1215</v>
      </c>
      <c r="E904" s="229"/>
      <c r="F904" s="229">
        <v>27.1215</v>
      </c>
      <c r="G904" s="229"/>
      <c r="H904" s="229"/>
      <c r="I904" s="229"/>
      <c r="J904" s="229"/>
      <c r="K904" s="229"/>
      <c r="L904" s="229"/>
      <c r="M904" s="229"/>
      <c r="N904" s="232"/>
    </row>
    <row r="905" hidden="1" spans="1:14">
      <c r="A905" s="235"/>
      <c r="B905" s="230" t="s">
        <v>1029</v>
      </c>
      <c r="C905" s="229">
        <v>4.845</v>
      </c>
      <c r="D905" s="229">
        <v>4.845</v>
      </c>
      <c r="E905" s="229"/>
      <c r="F905" s="229">
        <v>4.845</v>
      </c>
      <c r="G905" s="229"/>
      <c r="H905" s="229"/>
      <c r="I905" s="229"/>
      <c r="J905" s="229"/>
      <c r="K905" s="229"/>
      <c r="L905" s="229"/>
      <c r="M905" s="229"/>
      <c r="N905" s="232"/>
    </row>
    <row r="906" hidden="1" spans="1:14">
      <c r="A906" s="235"/>
      <c r="B906" s="230" t="s">
        <v>1038</v>
      </c>
      <c r="C906" s="229">
        <v>0.09</v>
      </c>
      <c r="D906" s="229">
        <v>0.09</v>
      </c>
      <c r="E906" s="229"/>
      <c r="F906" s="229">
        <v>0.09</v>
      </c>
      <c r="G906" s="229"/>
      <c r="H906" s="229"/>
      <c r="I906" s="229"/>
      <c r="J906" s="229"/>
      <c r="K906" s="229"/>
      <c r="L906" s="229"/>
      <c r="M906" s="229"/>
      <c r="N906" s="232"/>
    </row>
    <row r="907" spans="1:14">
      <c r="A907" s="227">
        <v>303001</v>
      </c>
      <c r="B907" s="231" t="s">
        <v>704</v>
      </c>
      <c r="C907" s="229">
        <v>633.534476</v>
      </c>
      <c r="D907" s="229">
        <v>633.534476</v>
      </c>
      <c r="E907" s="229">
        <v>633.534476</v>
      </c>
      <c r="F907" s="229"/>
      <c r="G907" s="229"/>
      <c r="H907" s="229"/>
      <c r="I907" s="229"/>
      <c r="J907" s="229"/>
      <c r="K907" s="229"/>
      <c r="L907" s="229"/>
      <c r="M907" s="229"/>
      <c r="N907" s="233" t="s">
        <v>578</v>
      </c>
    </row>
    <row r="908" hidden="1" spans="1:14">
      <c r="A908" s="235"/>
      <c r="B908" s="230" t="s">
        <v>1033</v>
      </c>
      <c r="C908" s="229">
        <v>108.439288</v>
      </c>
      <c r="D908" s="229">
        <v>108.439288</v>
      </c>
      <c r="E908" s="229">
        <v>108.439288</v>
      </c>
      <c r="F908" s="229"/>
      <c r="G908" s="229"/>
      <c r="H908" s="229"/>
      <c r="I908" s="229"/>
      <c r="J908" s="229"/>
      <c r="K908" s="229"/>
      <c r="L908" s="229"/>
      <c r="M908" s="229"/>
      <c r="N908" s="232"/>
    </row>
    <row r="909" hidden="1" spans="1:14">
      <c r="A909" s="235"/>
      <c r="B909" s="230" t="s">
        <v>1031</v>
      </c>
      <c r="C909" s="229">
        <v>15</v>
      </c>
      <c r="D909" s="229">
        <v>15</v>
      </c>
      <c r="E909" s="229">
        <v>15</v>
      </c>
      <c r="F909" s="229"/>
      <c r="G909" s="229"/>
      <c r="H909" s="229"/>
      <c r="I909" s="229"/>
      <c r="J909" s="229"/>
      <c r="K909" s="229"/>
      <c r="L909" s="229"/>
      <c r="M909" s="229"/>
      <c r="N909" s="232"/>
    </row>
    <row r="910" hidden="1" spans="1:14">
      <c r="A910" s="235"/>
      <c r="B910" s="230" t="s">
        <v>1027</v>
      </c>
      <c r="C910" s="229">
        <v>8</v>
      </c>
      <c r="D910" s="229">
        <v>8</v>
      </c>
      <c r="E910" s="229">
        <v>8</v>
      </c>
      <c r="F910" s="229"/>
      <c r="G910" s="229"/>
      <c r="H910" s="229"/>
      <c r="I910" s="229"/>
      <c r="J910" s="229"/>
      <c r="K910" s="229"/>
      <c r="L910" s="229"/>
      <c r="M910" s="229"/>
      <c r="N910" s="232"/>
    </row>
    <row r="911" hidden="1" spans="1:14">
      <c r="A911" s="235"/>
      <c r="B911" s="230" t="s">
        <v>1029</v>
      </c>
      <c r="C911" s="229">
        <v>31.72</v>
      </c>
      <c r="D911" s="229">
        <v>31.72</v>
      </c>
      <c r="E911" s="229">
        <v>31.72</v>
      </c>
      <c r="F911" s="229"/>
      <c r="G911" s="229"/>
      <c r="H911" s="229"/>
      <c r="I911" s="229"/>
      <c r="J911" s="229"/>
      <c r="K911" s="229"/>
      <c r="L911" s="229"/>
      <c r="M911" s="229"/>
      <c r="N911" s="232"/>
    </row>
    <row r="912" hidden="1" spans="1:14">
      <c r="A912" s="235"/>
      <c r="B912" s="230" t="s">
        <v>1032</v>
      </c>
      <c r="C912" s="229">
        <v>333.6672</v>
      </c>
      <c r="D912" s="229">
        <v>333.6672</v>
      </c>
      <c r="E912" s="229">
        <v>333.6672</v>
      </c>
      <c r="F912" s="229"/>
      <c r="G912" s="229"/>
      <c r="H912" s="229"/>
      <c r="I912" s="229"/>
      <c r="J912" s="229"/>
      <c r="K912" s="229"/>
      <c r="L912" s="229"/>
      <c r="M912" s="229"/>
      <c r="N912" s="232"/>
    </row>
    <row r="913" hidden="1" spans="1:14">
      <c r="A913" s="235"/>
      <c r="B913" s="230" t="s">
        <v>1035</v>
      </c>
      <c r="C913" s="229">
        <v>3.1</v>
      </c>
      <c r="D913" s="229">
        <v>3.1</v>
      </c>
      <c r="E913" s="229">
        <v>3.1</v>
      </c>
      <c r="F913" s="229"/>
      <c r="G913" s="229"/>
      <c r="H913" s="229"/>
      <c r="I913" s="229"/>
      <c r="J913" s="229"/>
      <c r="K913" s="229"/>
      <c r="L913" s="229"/>
      <c r="M913" s="229"/>
      <c r="N913" s="232"/>
    </row>
    <row r="914" hidden="1" spans="1:14">
      <c r="A914" s="235"/>
      <c r="B914" s="230" t="s">
        <v>1028</v>
      </c>
      <c r="C914" s="229">
        <v>84.7752</v>
      </c>
      <c r="D914" s="229">
        <v>84.7752</v>
      </c>
      <c r="E914" s="229">
        <v>84.7752</v>
      </c>
      <c r="F914" s="229"/>
      <c r="G914" s="229"/>
      <c r="H914" s="229"/>
      <c r="I914" s="229"/>
      <c r="J914" s="229"/>
      <c r="K914" s="229"/>
      <c r="L914" s="229"/>
      <c r="M914" s="229"/>
      <c r="N914" s="232"/>
    </row>
    <row r="915" hidden="1" spans="1:14">
      <c r="A915" s="235"/>
      <c r="B915" s="230" t="s">
        <v>1039</v>
      </c>
      <c r="C915" s="229">
        <v>6.673344</v>
      </c>
      <c r="D915" s="229">
        <v>6.673344</v>
      </c>
      <c r="E915" s="229">
        <v>6.673344</v>
      </c>
      <c r="F915" s="229"/>
      <c r="G915" s="229"/>
      <c r="H915" s="229"/>
      <c r="I915" s="229"/>
      <c r="J915" s="229"/>
      <c r="K915" s="229"/>
      <c r="L915" s="229"/>
      <c r="M915" s="229"/>
      <c r="N915" s="232"/>
    </row>
    <row r="916" hidden="1" spans="1:14">
      <c r="A916" s="235"/>
      <c r="B916" s="230" t="s">
        <v>1036</v>
      </c>
      <c r="C916" s="229">
        <v>40.040064</v>
      </c>
      <c r="D916" s="229">
        <v>40.040064</v>
      </c>
      <c r="E916" s="229">
        <v>40.040064</v>
      </c>
      <c r="F916" s="229"/>
      <c r="G916" s="229"/>
      <c r="H916" s="229"/>
      <c r="I916" s="229"/>
      <c r="J916" s="229"/>
      <c r="K916" s="229"/>
      <c r="L916" s="229"/>
      <c r="M916" s="229"/>
      <c r="N916" s="232"/>
    </row>
    <row r="917" hidden="1" spans="1:14">
      <c r="A917" s="235"/>
      <c r="B917" s="230" t="s">
        <v>1037</v>
      </c>
      <c r="C917" s="229">
        <v>2.11938</v>
      </c>
      <c r="D917" s="229">
        <v>2.11938</v>
      </c>
      <c r="E917" s="229">
        <v>2.11938</v>
      </c>
      <c r="F917" s="229"/>
      <c r="G917" s="229"/>
      <c r="H917" s="229"/>
      <c r="I917" s="229"/>
      <c r="J917" s="229"/>
      <c r="K917" s="229"/>
      <c r="L917" s="229"/>
      <c r="M917" s="229"/>
      <c r="N917" s="232"/>
    </row>
    <row r="918" spans="1:14">
      <c r="A918" s="227">
        <v>303002</v>
      </c>
      <c r="B918" s="231" t="s">
        <v>705</v>
      </c>
      <c r="C918" s="229">
        <v>271.850962</v>
      </c>
      <c r="D918" s="229">
        <v>271.850962</v>
      </c>
      <c r="E918" s="229">
        <v>271.850962</v>
      </c>
      <c r="F918" s="229"/>
      <c r="G918" s="229"/>
      <c r="H918" s="229"/>
      <c r="I918" s="229"/>
      <c r="J918" s="229"/>
      <c r="K918" s="229"/>
      <c r="L918" s="229"/>
      <c r="M918" s="229"/>
      <c r="N918" s="233" t="s">
        <v>578</v>
      </c>
    </row>
    <row r="919" hidden="1" spans="1:14">
      <c r="A919" s="235"/>
      <c r="B919" s="230" t="s">
        <v>1029</v>
      </c>
      <c r="C919" s="229">
        <v>14.823</v>
      </c>
      <c r="D919" s="229">
        <v>14.823</v>
      </c>
      <c r="E919" s="229">
        <v>14.823</v>
      </c>
      <c r="F919" s="229"/>
      <c r="G919" s="229"/>
      <c r="H919" s="229"/>
      <c r="I919" s="229"/>
      <c r="J919" s="229"/>
      <c r="K919" s="229"/>
      <c r="L919" s="229"/>
      <c r="M919" s="229"/>
      <c r="N919" s="232"/>
    </row>
    <row r="920" hidden="1" spans="1:14">
      <c r="A920" s="235"/>
      <c r="B920" s="230" t="s">
        <v>1033</v>
      </c>
      <c r="C920" s="229">
        <v>51.327706</v>
      </c>
      <c r="D920" s="229">
        <v>51.327706</v>
      </c>
      <c r="E920" s="229">
        <v>51.327706</v>
      </c>
      <c r="F920" s="229"/>
      <c r="G920" s="229"/>
      <c r="H920" s="229"/>
      <c r="I920" s="229"/>
      <c r="J920" s="229"/>
      <c r="K920" s="229"/>
      <c r="L920" s="229"/>
      <c r="M920" s="229"/>
      <c r="N920" s="232"/>
    </row>
    <row r="921" hidden="1" spans="1:14">
      <c r="A921" s="235"/>
      <c r="B921" s="230" t="s">
        <v>1034</v>
      </c>
      <c r="C921" s="229">
        <v>3.042</v>
      </c>
      <c r="D921" s="229">
        <v>3.042</v>
      </c>
      <c r="E921" s="229">
        <v>3.042</v>
      </c>
      <c r="F921" s="229"/>
      <c r="G921" s="229"/>
      <c r="H921" s="229"/>
      <c r="I921" s="229"/>
      <c r="J921" s="229"/>
      <c r="K921" s="229"/>
      <c r="L921" s="229"/>
      <c r="M921" s="229"/>
      <c r="N921" s="232"/>
    </row>
    <row r="922" hidden="1" spans="1:14">
      <c r="A922" s="235"/>
      <c r="B922" s="230" t="s">
        <v>1032</v>
      </c>
      <c r="C922" s="229">
        <v>177.7704</v>
      </c>
      <c r="D922" s="229">
        <v>177.7704</v>
      </c>
      <c r="E922" s="229">
        <v>177.7704</v>
      </c>
      <c r="F922" s="229"/>
      <c r="G922" s="229"/>
      <c r="H922" s="229"/>
      <c r="I922" s="229"/>
      <c r="J922" s="229"/>
      <c r="K922" s="229"/>
      <c r="L922" s="229"/>
      <c r="M922" s="229"/>
      <c r="N922" s="232"/>
    </row>
    <row r="923" hidden="1" spans="1:14">
      <c r="A923" s="235"/>
      <c r="B923" s="230" t="s">
        <v>1036</v>
      </c>
      <c r="C923" s="229">
        <v>21.332448</v>
      </c>
      <c r="D923" s="229">
        <v>21.332448</v>
      </c>
      <c r="E923" s="229">
        <v>21.332448</v>
      </c>
      <c r="F923" s="229"/>
      <c r="G923" s="229"/>
      <c r="H923" s="229"/>
      <c r="I923" s="229"/>
      <c r="J923" s="229"/>
      <c r="K923" s="229"/>
      <c r="L923" s="229"/>
      <c r="M923" s="229"/>
      <c r="N923" s="232"/>
    </row>
    <row r="924" hidden="1" spans="1:14">
      <c r="A924" s="235"/>
      <c r="B924" s="230" t="s">
        <v>1039</v>
      </c>
      <c r="C924" s="229">
        <v>3.555408</v>
      </c>
      <c r="D924" s="229">
        <v>3.555408</v>
      </c>
      <c r="E924" s="229">
        <v>3.555408</v>
      </c>
      <c r="F924" s="229"/>
      <c r="G924" s="229"/>
      <c r="H924" s="229"/>
      <c r="I924" s="229"/>
      <c r="J924" s="229"/>
      <c r="K924" s="229"/>
      <c r="L924" s="229"/>
      <c r="M924" s="229"/>
      <c r="N924" s="232"/>
    </row>
    <row r="925" spans="1:14">
      <c r="A925" s="227">
        <v>303003</v>
      </c>
      <c r="B925" s="231" t="s">
        <v>706</v>
      </c>
      <c r="C925" s="229">
        <v>54.293407</v>
      </c>
      <c r="D925" s="229">
        <v>54.293407</v>
      </c>
      <c r="E925" s="229">
        <v>54.293407</v>
      </c>
      <c r="F925" s="229"/>
      <c r="G925" s="229"/>
      <c r="H925" s="229"/>
      <c r="I925" s="229"/>
      <c r="J925" s="229"/>
      <c r="K925" s="229"/>
      <c r="L925" s="229"/>
      <c r="M925" s="229"/>
      <c r="N925" s="233" t="s">
        <v>578</v>
      </c>
    </row>
    <row r="926" hidden="1" spans="1:14">
      <c r="A926" s="235"/>
      <c r="B926" s="230" t="s">
        <v>1030</v>
      </c>
      <c r="C926" s="229">
        <v>4</v>
      </c>
      <c r="D926" s="229">
        <v>4</v>
      </c>
      <c r="E926" s="229">
        <v>4</v>
      </c>
      <c r="F926" s="229"/>
      <c r="G926" s="229"/>
      <c r="H926" s="229"/>
      <c r="I926" s="229"/>
      <c r="J926" s="229"/>
      <c r="K926" s="229"/>
      <c r="L926" s="229"/>
      <c r="M926" s="229"/>
      <c r="N926" s="232"/>
    </row>
    <row r="927" hidden="1" spans="1:14">
      <c r="A927" s="235"/>
      <c r="B927" s="230" t="s">
        <v>1032</v>
      </c>
      <c r="C927" s="229">
        <v>32.4327</v>
      </c>
      <c r="D927" s="229">
        <v>32.4327</v>
      </c>
      <c r="E927" s="229">
        <v>32.4327</v>
      </c>
      <c r="F927" s="229"/>
      <c r="G927" s="229"/>
      <c r="H927" s="229"/>
      <c r="I927" s="229"/>
      <c r="J927" s="229"/>
      <c r="K927" s="229"/>
      <c r="L927" s="229"/>
      <c r="M927" s="229"/>
      <c r="N927" s="232"/>
    </row>
    <row r="928" hidden="1" spans="1:14">
      <c r="A928" s="235"/>
      <c r="B928" s="230" t="s">
        <v>1039</v>
      </c>
      <c r="C928" s="229">
        <v>0.648654</v>
      </c>
      <c r="D928" s="229">
        <v>0.648654</v>
      </c>
      <c r="E928" s="229">
        <v>0.648654</v>
      </c>
      <c r="F928" s="229"/>
      <c r="G928" s="229"/>
      <c r="H928" s="229"/>
      <c r="I928" s="229"/>
      <c r="J928" s="229"/>
      <c r="K928" s="229"/>
      <c r="L928" s="229"/>
      <c r="M928" s="229"/>
      <c r="N928" s="232"/>
    </row>
    <row r="929" hidden="1" spans="1:14">
      <c r="A929" s="235"/>
      <c r="B929" s="230" t="s">
        <v>1036</v>
      </c>
      <c r="C929" s="229">
        <v>3.891924</v>
      </c>
      <c r="D929" s="229">
        <v>3.891924</v>
      </c>
      <c r="E929" s="229">
        <v>3.891924</v>
      </c>
      <c r="F929" s="229"/>
      <c r="G929" s="229"/>
      <c r="H929" s="229"/>
      <c r="I929" s="229"/>
      <c r="J929" s="229"/>
      <c r="K929" s="229"/>
      <c r="L929" s="229"/>
      <c r="M929" s="229"/>
      <c r="N929" s="232"/>
    </row>
    <row r="930" hidden="1" spans="1:14">
      <c r="A930" s="235"/>
      <c r="B930" s="230" t="s">
        <v>1033</v>
      </c>
      <c r="C930" s="229">
        <v>9.282629</v>
      </c>
      <c r="D930" s="229">
        <v>9.282629</v>
      </c>
      <c r="E930" s="229">
        <v>9.282629</v>
      </c>
      <c r="F930" s="229"/>
      <c r="G930" s="229"/>
      <c r="H930" s="229"/>
      <c r="I930" s="229"/>
      <c r="J930" s="229"/>
      <c r="K930" s="229"/>
      <c r="L930" s="229"/>
      <c r="M930" s="229"/>
      <c r="N930" s="232"/>
    </row>
    <row r="931" hidden="1" spans="1:14">
      <c r="A931" s="235"/>
      <c r="B931" s="230" t="s">
        <v>1029</v>
      </c>
      <c r="C931" s="229">
        <v>4.0375</v>
      </c>
      <c r="D931" s="229">
        <v>4.0375</v>
      </c>
      <c r="E931" s="229">
        <v>4.0375</v>
      </c>
      <c r="F931" s="229"/>
      <c r="G931" s="229"/>
      <c r="H931" s="229"/>
      <c r="I931" s="229"/>
      <c r="J931" s="229"/>
      <c r="K931" s="229"/>
      <c r="L931" s="229"/>
      <c r="M931" s="229"/>
      <c r="N931" s="232"/>
    </row>
    <row r="932" spans="1:14">
      <c r="A932" s="227">
        <v>303004</v>
      </c>
      <c r="B932" s="231" t="s">
        <v>707</v>
      </c>
      <c r="C932" s="229">
        <v>119.970963</v>
      </c>
      <c r="D932" s="229">
        <v>119.970963</v>
      </c>
      <c r="E932" s="229">
        <v>100.559378</v>
      </c>
      <c r="F932" s="229">
        <v>19.411585</v>
      </c>
      <c r="G932" s="229"/>
      <c r="H932" s="229"/>
      <c r="I932" s="229"/>
      <c r="J932" s="229"/>
      <c r="K932" s="229"/>
      <c r="L932" s="229"/>
      <c r="M932" s="229"/>
      <c r="N932" s="233" t="s">
        <v>578</v>
      </c>
    </row>
    <row r="933" hidden="1" spans="1:14">
      <c r="A933" s="235"/>
      <c r="B933" s="230" t="s">
        <v>1033</v>
      </c>
      <c r="C933" s="229">
        <v>22.078283</v>
      </c>
      <c r="D933" s="229">
        <v>22.078283</v>
      </c>
      <c r="E933" s="229">
        <v>18.06405</v>
      </c>
      <c r="F933" s="229">
        <v>4.014233</v>
      </c>
      <c r="G933" s="229"/>
      <c r="H933" s="229"/>
      <c r="I933" s="229"/>
      <c r="J933" s="229"/>
      <c r="K933" s="229"/>
      <c r="L933" s="229"/>
      <c r="M933" s="229"/>
      <c r="N933" s="232"/>
    </row>
    <row r="934" hidden="1" spans="1:14">
      <c r="A934" s="235"/>
      <c r="B934" s="230" t="s">
        <v>1032</v>
      </c>
      <c r="C934" s="229">
        <v>75.612</v>
      </c>
      <c r="D934" s="229">
        <v>75.612</v>
      </c>
      <c r="E934" s="229">
        <v>61.864364</v>
      </c>
      <c r="F934" s="229">
        <v>13.747636</v>
      </c>
      <c r="G934" s="229"/>
      <c r="H934" s="229"/>
      <c r="I934" s="229"/>
      <c r="J934" s="229"/>
      <c r="K934" s="229"/>
      <c r="L934" s="229"/>
      <c r="M934" s="229"/>
      <c r="N934" s="232"/>
    </row>
    <row r="935" hidden="1" spans="1:14">
      <c r="A935" s="235"/>
      <c r="B935" s="230" t="s">
        <v>1029</v>
      </c>
      <c r="C935" s="229">
        <v>7.695</v>
      </c>
      <c r="D935" s="229">
        <v>7.695</v>
      </c>
      <c r="E935" s="229">
        <v>7.695</v>
      </c>
      <c r="F935" s="229"/>
      <c r="G935" s="229"/>
      <c r="H935" s="229"/>
      <c r="I935" s="229"/>
      <c r="J935" s="229"/>
      <c r="K935" s="229"/>
      <c r="L935" s="229"/>
      <c r="M935" s="229"/>
      <c r="N935" s="232"/>
    </row>
    <row r="936" hidden="1" spans="1:14">
      <c r="A936" s="235"/>
      <c r="B936" s="230" t="s">
        <v>1030</v>
      </c>
      <c r="C936" s="229">
        <v>4</v>
      </c>
      <c r="D936" s="229">
        <v>4</v>
      </c>
      <c r="E936" s="229">
        <v>4</v>
      </c>
      <c r="F936" s="229"/>
      <c r="G936" s="229"/>
      <c r="H936" s="229"/>
      <c r="I936" s="229"/>
      <c r="J936" s="229"/>
      <c r="K936" s="229"/>
      <c r="L936" s="229"/>
      <c r="M936" s="229"/>
      <c r="N936" s="232"/>
    </row>
    <row r="937" hidden="1" spans="1:14">
      <c r="A937" s="235"/>
      <c r="B937" s="230" t="s">
        <v>1039</v>
      </c>
      <c r="C937" s="229">
        <v>1.51224</v>
      </c>
      <c r="D937" s="229">
        <v>1.51224</v>
      </c>
      <c r="E937" s="229">
        <v>1.51224</v>
      </c>
      <c r="F937" s="229"/>
      <c r="G937" s="229"/>
      <c r="H937" s="229"/>
      <c r="I937" s="229"/>
      <c r="J937" s="229"/>
      <c r="K937" s="229"/>
      <c r="L937" s="229"/>
      <c r="M937" s="229"/>
      <c r="N937" s="232"/>
    </row>
    <row r="938" hidden="1" spans="1:14">
      <c r="A938" s="235"/>
      <c r="B938" s="230" t="s">
        <v>1036</v>
      </c>
      <c r="C938" s="229">
        <v>9.07344</v>
      </c>
      <c r="D938" s="229">
        <v>9.07344</v>
      </c>
      <c r="E938" s="229">
        <v>7.423724</v>
      </c>
      <c r="F938" s="229">
        <v>1.649716</v>
      </c>
      <c r="G938" s="229"/>
      <c r="H938" s="229"/>
      <c r="I938" s="229"/>
      <c r="J938" s="229"/>
      <c r="K938" s="229"/>
      <c r="L938" s="229"/>
      <c r="M938" s="229"/>
      <c r="N938" s="232"/>
    </row>
    <row r="939" spans="1:14">
      <c r="A939" s="227">
        <v>303005</v>
      </c>
      <c r="B939" s="231" t="s">
        <v>708</v>
      </c>
      <c r="C939" s="229">
        <v>800.832064</v>
      </c>
      <c r="D939" s="229">
        <v>800.832064</v>
      </c>
      <c r="E939" s="229">
        <v>800.832064</v>
      </c>
      <c r="F939" s="229"/>
      <c r="G939" s="229"/>
      <c r="H939" s="229"/>
      <c r="I939" s="229"/>
      <c r="J939" s="229"/>
      <c r="K939" s="229"/>
      <c r="L939" s="229"/>
      <c r="M939" s="229"/>
      <c r="N939" s="233" t="s">
        <v>578</v>
      </c>
    </row>
    <row r="940" hidden="1" spans="1:14">
      <c r="A940" s="235"/>
      <c r="B940" s="230" t="s">
        <v>1039</v>
      </c>
      <c r="C940" s="229">
        <v>9.467392</v>
      </c>
      <c r="D940" s="229">
        <v>9.467392</v>
      </c>
      <c r="E940" s="229">
        <v>9.467392</v>
      </c>
      <c r="F940" s="229"/>
      <c r="G940" s="229"/>
      <c r="H940" s="229"/>
      <c r="I940" s="229"/>
      <c r="J940" s="229"/>
      <c r="K940" s="229"/>
      <c r="L940" s="229"/>
      <c r="M940" s="229"/>
      <c r="N940" s="232"/>
    </row>
    <row r="941" hidden="1" spans="1:14">
      <c r="A941" s="235"/>
      <c r="B941" s="230" t="s">
        <v>1038</v>
      </c>
      <c r="C941" s="229">
        <v>0.27</v>
      </c>
      <c r="D941" s="229">
        <v>0.27</v>
      </c>
      <c r="E941" s="229">
        <v>0.27</v>
      </c>
      <c r="F941" s="229"/>
      <c r="G941" s="229"/>
      <c r="H941" s="229"/>
      <c r="I941" s="229"/>
      <c r="J941" s="229"/>
      <c r="K941" s="229"/>
      <c r="L941" s="229"/>
      <c r="M941" s="229"/>
      <c r="N941" s="232"/>
    </row>
    <row r="942" hidden="1" spans="1:14">
      <c r="A942" s="235"/>
      <c r="B942" s="230" t="s">
        <v>1027</v>
      </c>
      <c r="C942" s="229">
        <v>6</v>
      </c>
      <c r="D942" s="229">
        <v>6</v>
      </c>
      <c r="E942" s="229">
        <v>6</v>
      </c>
      <c r="F942" s="229"/>
      <c r="G942" s="229"/>
      <c r="H942" s="229"/>
      <c r="I942" s="229"/>
      <c r="J942" s="229"/>
      <c r="K942" s="229"/>
      <c r="L942" s="229"/>
      <c r="M942" s="229"/>
      <c r="N942" s="232"/>
    </row>
    <row r="943" hidden="1" spans="1:14">
      <c r="A943" s="235"/>
      <c r="B943" s="230" t="s">
        <v>1032</v>
      </c>
      <c r="C943" s="229">
        <v>473.3696</v>
      </c>
      <c r="D943" s="229">
        <v>473.3696</v>
      </c>
      <c r="E943" s="229">
        <v>473.3696</v>
      </c>
      <c r="F943" s="229"/>
      <c r="G943" s="229"/>
      <c r="H943" s="229"/>
      <c r="I943" s="229"/>
      <c r="J943" s="229"/>
      <c r="K943" s="229"/>
      <c r="L943" s="229"/>
      <c r="M943" s="229"/>
      <c r="N943" s="232"/>
    </row>
    <row r="944" hidden="1" spans="1:14">
      <c r="A944" s="235"/>
      <c r="B944" s="230" t="s">
        <v>1029</v>
      </c>
      <c r="C944" s="229">
        <v>32.4</v>
      </c>
      <c r="D944" s="229">
        <v>32.4</v>
      </c>
      <c r="E944" s="229">
        <v>32.4</v>
      </c>
      <c r="F944" s="229"/>
      <c r="G944" s="229"/>
      <c r="H944" s="229"/>
      <c r="I944" s="229"/>
      <c r="J944" s="229"/>
      <c r="K944" s="229"/>
      <c r="L944" s="229"/>
      <c r="M944" s="229"/>
      <c r="N944" s="232"/>
    </row>
    <row r="945" hidden="1" spans="1:14">
      <c r="A945" s="235"/>
      <c r="B945" s="230" t="s">
        <v>1031</v>
      </c>
      <c r="C945" s="229">
        <v>1.32</v>
      </c>
      <c r="D945" s="229">
        <v>1.32</v>
      </c>
      <c r="E945" s="229">
        <v>1.32</v>
      </c>
      <c r="F945" s="229"/>
      <c r="G945" s="229"/>
      <c r="H945" s="229"/>
      <c r="I945" s="229"/>
      <c r="J945" s="229"/>
      <c r="K945" s="229"/>
      <c r="L945" s="229"/>
      <c r="M945" s="229"/>
      <c r="N945" s="232"/>
    </row>
    <row r="946" hidden="1" spans="1:14">
      <c r="A946" s="235"/>
      <c r="B946" s="230" t="s">
        <v>1036</v>
      </c>
      <c r="C946" s="229">
        <v>56.804352</v>
      </c>
      <c r="D946" s="229">
        <v>56.804352</v>
      </c>
      <c r="E946" s="229">
        <v>56.804352</v>
      </c>
      <c r="F946" s="229"/>
      <c r="G946" s="229"/>
      <c r="H946" s="229"/>
      <c r="I946" s="229"/>
      <c r="J946" s="229"/>
      <c r="K946" s="229"/>
      <c r="L946" s="229"/>
      <c r="M946" s="229"/>
      <c r="N946" s="232"/>
    </row>
    <row r="947" hidden="1" spans="1:14">
      <c r="A947" s="235"/>
      <c r="B947" s="230" t="s">
        <v>1028</v>
      </c>
      <c r="C947" s="229">
        <v>55.86</v>
      </c>
      <c r="D947" s="229">
        <v>55.86</v>
      </c>
      <c r="E947" s="229">
        <v>55.86</v>
      </c>
      <c r="F947" s="229"/>
      <c r="G947" s="229"/>
      <c r="H947" s="229"/>
      <c r="I947" s="229"/>
      <c r="J947" s="229"/>
      <c r="K947" s="229"/>
      <c r="L947" s="229"/>
      <c r="M947" s="229"/>
      <c r="N947" s="232"/>
    </row>
    <row r="948" hidden="1" spans="1:14">
      <c r="A948" s="235"/>
      <c r="B948" s="230" t="s">
        <v>1033</v>
      </c>
      <c r="C948" s="229">
        <v>142.04422</v>
      </c>
      <c r="D948" s="229">
        <v>142.04422</v>
      </c>
      <c r="E948" s="229">
        <v>142.04422</v>
      </c>
      <c r="F948" s="229"/>
      <c r="G948" s="229"/>
      <c r="H948" s="229"/>
      <c r="I948" s="229"/>
      <c r="J948" s="229"/>
      <c r="K948" s="229"/>
      <c r="L948" s="229"/>
      <c r="M948" s="229"/>
      <c r="N948" s="232"/>
    </row>
    <row r="949" hidden="1" spans="1:14">
      <c r="A949" s="235"/>
      <c r="B949" s="230" t="s">
        <v>1037</v>
      </c>
      <c r="C949" s="229">
        <v>1.3965</v>
      </c>
      <c r="D949" s="229">
        <v>1.3965</v>
      </c>
      <c r="E949" s="229">
        <v>1.3965</v>
      </c>
      <c r="F949" s="229"/>
      <c r="G949" s="229"/>
      <c r="H949" s="229"/>
      <c r="I949" s="229"/>
      <c r="J949" s="229"/>
      <c r="K949" s="229"/>
      <c r="L949" s="229"/>
      <c r="M949" s="229"/>
      <c r="N949" s="232"/>
    </row>
    <row r="950" hidden="1" spans="1:14">
      <c r="A950" s="235"/>
      <c r="B950" s="230" t="s">
        <v>1030</v>
      </c>
      <c r="C950" s="229">
        <v>20</v>
      </c>
      <c r="D950" s="229">
        <v>20</v>
      </c>
      <c r="E950" s="229">
        <v>20</v>
      </c>
      <c r="F950" s="229"/>
      <c r="G950" s="229"/>
      <c r="H950" s="229"/>
      <c r="I950" s="229"/>
      <c r="J950" s="229"/>
      <c r="K950" s="229"/>
      <c r="L950" s="229"/>
      <c r="M950" s="229"/>
      <c r="N950" s="232"/>
    </row>
    <row r="951" hidden="1" spans="1:14">
      <c r="A951" s="235"/>
      <c r="B951" s="230" t="s">
        <v>1035</v>
      </c>
      <c r="C951" s="229">
        <v>1.9</v>
      </c>
      <c r="D951" s="229">
        <v>1.9</v>
      </c>
      <c r="E951" s="229">
        <v>1.9</v>
      </c>
      <c r="F951" s="229"/>
      <c r="G951" s="229"/>
      <c r="H951" s="229"/>
      <c r="I951" s="229"/>
      <c r="J951" s="229"/>
      <c r="K951" s="229"/>
      <c r="L951" s="229"/>
      <c r="M951" s="229"/>
      <c r="N951" s="232"/>
    </row>
    <row r="952" spans="1:14">
      <c r="A952" s="227">
        <v>303006</v>
      </c>
      <c r="B952" s="231" t="s">
        <v>709</v>
      </c>
      <c r="C952" s="229">
        <v>893.65391</v>
      </c>
      <c r="D952" s="229">
        <v>893.65391</v>
      </c>
      <c r="E952" s="229">
        <v>893.65391</v>
      </c>
      <c r="F952" s="229"/>
      <c r="G952" s="229"/>
      <c r="H952" s="229"/>
      <c r="I952" s="229"/>
      <c r="J952" s="229"/>
      <c r="K952" s="229"/>
      <c r="L952" s="229"/>
      <c r="M952" s="229"/>
      <c r="N952" s="233" t="s">
        <v>578</v>
      </c>
    </row>
    <row r="953" hidden="1" spans="1:14">
      <c r="A953" s="235"/>
      <c r="B953" s="230" t="s">
        <v>1036</v>
      </c>
      <c r="C953" s="229">
        <v>54.966609</v>
      </c>
      <c r="D953" s="229">
        <v>54.966609</v>
      </c>
      <c r="E953" s="229">
        <v>54.966609</v>
      </c>
      <c r="F953" s="229"/>
      <c r="G953" s="229"/>
      <c r="H953" s="229"/>
      <c r="I953" s="229"/>
      <c r="J953" s="229"/>
      <c r="K953" s="229"/>
      <c r="L953" s="229"/>
      <c r="M953" s="229"/>
      <c r="N953" s="232"/>
    </row>
    <row r="954" hidden="1" spans="1:14">
      <c r="A954" s="235"/>
      <c r="B954" s="230" t="s">
        <v>1037</v>
      </c>
      <c r="C954" s="229">
        <v>4.1895</v>
      </c>
      <c r="D954" s="229">
        <v>4.1895</v>
      </c>
      <c r="E954" s="229">
        <v>4.1895</v>
      </c>
      <c r="F954" s="229"/>
      <c r="G954" s="229"/>
      <c r="H954" s="229"/>
      <c r="I954" s="229"/>
      <c r="J954" s="229"/>
      <c r="K954" s="229"/>
      <c r="L954" s="229"/>
      <c r="M954" s="229"/>
      <c r="N954" s="232"/>
    </row>
    <row r="955" hidden="1" spans="1:14">
      <c r="A955" s="235"/>
      <c r="B955" s="230" t="s">
        <v>1034</v>
      </c>
      <c r="C955" s="229">
        <v>1.014</v>
      </c>
      <c r="D955" s="229">
        <v>1.014</v>
      </c>
      <c r="E955" s="229">
        <v>1.014</v>
      </c>
      <c r="F955" s="229"/>
      <c r="G955" s="229"/>
      <c r="H955" s="229"/>
      <c r="I955" s="229"/>
      <c r="J955" s="229"/>
      <c r="K955" s="229"/>
      <c r="L955" s="229"/>
      <c r="M955" s="229"/>
      <c r="N955" s="232"/>
    </row>
    <row r="956" hidden="1" spans="1:14">
      <c r="A956" s="235"/>
      <c r="B956" s="230" t="s">
        <v>1035</v>
      </c>
      <c r="C956" s="229">
        <v>5.7</v>
      </c>
      <c r="D956" s="229">
        <v>5.7</v>
      </c>
      <c r="E956" s="229">
        <v>5.7</v>
      </c>
      <c r="F956" s="229"/>
      <c r="G956" s="229"/>
      <c r="H956" s="229"/>
      <c r="I956" s="229"/>
      <c r="J956" s="229"/>
      <c r="K956" s="229"/>
      <c r="L956" s="229"/>
      <c r="M956" s="229"/>
      <c r="N956" s="232"/>
    </row>
    <row r="957" hidden="1" spans="1:14">
      <c r="A957" s="235"/>
      <c r="B957" s="230" t="s">
        <v>1033</v>
      </c>
      <c r="C957" s="229">
        <v>161.937623</v>
      </c>
      <c r="D957" s="229">
        <v>161.937623</v>
      </c>
      <c r="E957" s="229">
        <v>161.937623</v>
      </c>
      <c r="F957" s="229"/>
      <c r="G957" s="229"/>
      <c r="H957" s="229"/>
      <c r="I957" s="229"/>
      <c r="J957" s="229"/>
      <c r="K957" s="229"/>
      <c r="L957" s="229"/>
      <c r="M957" s="229"/>
      <c r="N957" s="232"/>
    </row>
    <row r="958" hidden="1" spans="1:14">
      <c r="A958" s="235"/>
      <c r="B958" s="230" t="s">
        <v>1032</v>
      </c>
      <c r="C958" s="229">
        <v>458.055076</v>
      </c>
      <c r="D958" s="229">
        <v>458.055076</v>
      </c>
      <c r="E958" s="229">
        <v>458.055076</v>
      </c>
      <c r="F958" s="229"/>
      <c r="G958" s="229"/>
      <c r="H958" s="229"/>
      <c r="I958" s="229"/>
      <c r="J958" s="229"/>
      <c r="K958" s="229"/>
      <c r="L958" s="229"/>
      <c r="M958" s="229"/>
      <c r="N958" s="232"/>
    </row>
    <row r="959" hidden="1" spans="1:14">
      <c r="A959" s="235"/>
      <c r="B959" s="230" t="s">
        <v>1028</v>
      </c>
      <c r="C959" s="229">
        <v>167.58</v>
      </c>
      <c r="D959" s="229">
        <v>167.58</v>
      </c>
      <c r="E959" s="229">
        <v>167.58</v>
      </c>
      <c r="F959" s="229"/>
      <c r="G959" s="229"/>
      <c r="H959" s="229"/>
      <c r="I959" s="229"/>
      <c r="J959" s="229"/>
      <c r="K959" s="229"/>
      <c r="L959" s="229"/>
      <c r="M959" s="229"/>
      <c r="N959" s="232"/>
    </row>
    <row r="960" hidden="1" spans="1:14">
      <c r="A960" s="235"/>
      <c r="B960" s="230" t="s">
        <v>1029</v>
      </c>
      <c r="C960" s="229">
        <v>30.78</v>
      </c>
      <c r="D960" s="229">
        <v>30.78</v>
      </c>
      <c r="E960" s="229">
        <v>30.78</v>
      </c>
      <c r="F960" s="229"/>
      <c r="G960" s="229"/>
      <c r="H960" s="229"/>
      <c r="I960" s="229"/>
      <c r="J960" s="229"/>
      <c r="K960" s="229"/>
      <c r="L960" s="229"/>
      <c r="M960" s="229"/>
      <c r="N960" s="232"/>
    </row>
    <row r="961" hidden="1" spans="1:14">
      <c r="A961" s="235"/>
      <c r="B961" s="230" t="s">
        <v>1038</v>
      </c>
      <c r="C961" s="229">
        <v>0.27</v>
      </c>
      <c r="D961" s="229">
        <v>0.27</v>
      </c>
      <c r="E961" s="229">
        <v>0.27</v>
      </c>
      <c r="F961" s="229"/>
      <c r="G961" s="229"/>
      <c r="H961" s="229"/>
      <c r="I961" s="229"/>
      <c r="J961" s="229"/>
      <c r="K961" s="229"/>
      <c r="L961" s="229"/>
      <c r="M961" s="229"/>
      <c r="N961" s="232"/>
    </row>
    <row r="962" hidden="1" spans="1:14">
      <c r="A962" s="235"/>
      <c r="B962" s="230" t="s">
        <v>1039</v>
      </c>
      <c r="C962" s="229">
        <v>9.161102</v>
      </c>
      <c r="D962" s="229">
        <v>9.161102</v>
      </c>
      <c r="E962" s="229">
        <v>9.161102</v>
      </c>
      <c r="F962" s="229"/>
      <c r="G962" s="229"/>
      <c r="H962" s="229"/>
      <c r="I962" s="229"/>
      <c r="J962" s="229"/>
      <c r="K962" s="229"/>
      <c r="L962" s="229"/>
      <c r="M962" s="229"/>
      <c r="N962" s="232"/>
    </row>
    <row r="963" spans="1:14">
      <c r="A963" s="227">
        <v>304001</v>
      </c>
      <c r="B963" s="231" t="s">
        <v>710</v>
      </c>
      <c r="C963" s="229">
        <v>555.135826</v>
      </c>
      <c r="D963" s="229">
        <v>555.135826</v>
      </c>
      <c r="E963" s="229">
        <v>555.135826</v>
      </c>
      <c r="F963" s="229"/>
      <c r="G963" s="229"/>
      <c r="H963" s="229"/>
      <c r="I963" s="229"/>
      <c r="J963" s="229"/>
      <c r="K963" s="229"/>
      <c r="L963" s="229"/>
      <c r="M963" s="229"/>
      <c r="N963" s="233" t="s">
        <v>578</v>
      </c>
    </row>
    <row r="964" hidden="1" spans="1:14">
      <c r="A964" s="235"/>
      <c r="B964" s="230" t="s">
        <v>1031</v>
      </c>
      <c r="C964" s="229">
        <v>13.116</v>
      </c>
      <c r="D964" s="229">
        <v>13.116</v>
      </c>
      <c r="E964" s="229">
        <v>13.116</v>
      </c>
      <c r="F964" s="229"/>
      <c r="G964" s="229"/>
      <c r="H964" s="229"/>
      <c r="I964" s="229"/>
      <c r="J964" s="229"/>
      <c r="K964" s="229"/>
      <c r="L964" s="229"/>
      <c r="M964" s="229"/>
      <c r="N964" s="232"/>
    </row>
    <row r="965" hidden="1" spans="1:14">
      <c r="A965" s="235"/>
      <c r="B965" s="230" t="s">
        <v>1039</v>
      </c>
      <c r="C965" s="229">
        <v>5.099002</v>
      </c>
      <c r="D965" s="229">
        <v>5.099002</v>
      </c>
      <c r="E965" s="229">
        <v>5.099002</v>
      </c>
      <c r="F965" s="229"/>
      <c r="G965" s="229"/>
      <c r="H965" s="229"/>
      <c r="I965" s="229"/>
      <c r="J965" s="229"/>
      <c r="K965" s="229"/>
      <c r="L965" s="229"/>
      <c r="M965" s="229"/>
      <c r="N965" s="232"/>
    </row>
    <row r="966" hidden="1" spans="1:14">
      <c r="A966" s="235"/>
      <c r="B966" s="230" t="s">
        <v>1027</v>
      </c>
      <c r="C966" s="229">
        <v>6</v>
      </c>
      <c r="D966" s="229">
        <v>6</v>
      </c>
      <c r="E966" s="229">
        <v>6</v>
      </c>
      <c r="F966" s="229"/>
      <c r="G966" s="229"/>
      <c r="H966" s="229"/>
      <c r="I966" s="229"/>
      <c r="J966" s="229"/>
      <c r="K966" s="229"/>
      <c r="L966" s="229"/>
      <c r="M966" s="229"/>
      <c r="N966" s="232"/>
    </row>
    <row r="967" hidden="1" spans="1:14">
      <c r="A967" s="235"/>
      <c r="B967" s="230" t="s">
        <v>1028</v>
      </c>
      <c r="C967" s="229">
        <v>103.668</v>
      </c>
      <c r="D967" s="229">
        <v>103.668</v>
      </c>
      <c r="E967" s="229">
        <v>103.668</v>
      </c>
      <c r="F967" s="229"/>
      <c r="G967" s="229"/>
      <c r="H967" s="229"/>
      <c r="I967" s="229"/>
      <c r="J967" s="229"/>
      <c r="K967" s="229"/>
      <c r="L967" s="229"/>
      <c r="M967" s="229"/>
      <c r="N967" s="232"/>
    </row>
    <row r="968" hidden="1" spans="1:14">
      <c r="A968" s="235"/>
      <c r="B968" s="230" t="s">
        <v>1033</v>
      </c>
      <c r="C968" s="229">
        <v>91.918937</v>
      </c>
      <c r="D968" s="229">
        <v>91.918937</v>
      </c>
      <c r="E968" s="229">
        <v>91.918937</v>
      </c>
      <c r="F968" s="229"/>
      <c r="G968" s="229"/>
      <c r="H968" s="229"/>
      <c r="I968" s="229"/>
      <c r="J968" s="229"/>
      <c r="K968" s="229"/>
      <c r="L968" s="229"/>
      <c r="M968" s="229"/>
      <c r="N968" s="232"/>
    </row>
    <row r="969" hidden="1" spans="1:14">
      <c r="A969" s="235"/>
      <c r="B969" s="230" t="s">
        <v>1032</v>
      </c>
      <c r="C969" s="229">
        <v>254.950092</v>
      </c>
      <c r="D969" s="229">
        <v>254.950092</v>
      </c>
      <c r="E969" s="229">
        <v>254.950092</v>
      </c>
      <c r="F969" s="229"/>
      <c r="G969" s="229"/>
      <c r="H969" s="229"/>
      <c r="I969" s="229"/>
      <c r="J969" s="229"/>
      <c r="K969" s="229"/>
      <c r="L969" s="229"/>
      <c r="M969" s="229"/>
      <c r="N969" s="232"/>
    </row>
    <row r="970" hidden="1" spans="1:14">
      <c r="A970" s="235"/>
      <c r="B970" s="230" t="s">
        <v>1036</v>
      </c>
      <c r="C970" s="229">
        <v>30.594011</v>
      </c>
      <c r="D970" s="229">
        <v>30.594011</v>
      </c>
      <c r="E970" s="229">
        <v>30.594011</v>
      </c>
      <c r="F970" s="229"/>
      <c r="G970" s="229"/>
      <c r="H970" s="229"/>
      <c r="I970" s="229"/>
      <c r="J970" s="229"/>
      <c r="K970" s="229"/>
      <c r="L970" s="229"/>
      <c r="M970" s="229"/>
      <c r="N970" s="232"/>
    </row>
    <row r="971" hidden="1" spans="1:14">
      <c r="A971" s="235"/>
      <c r="B971" s="230" t="s">
        <v>1035</v>
      </c>
      <c r="C971" s="229">
        <v>3.32</v>
      </c>
      <c r="D971" s="229">
        <v>3.32</v>
      </c>
      <c r="E971" s="229">
        <v>3.32</v>
      </c>
      <c r="F971" s="229"/>
      <c r="G971" s="229"/>
      <c r="H971" s="229"/>
      <c r="I971" s="229"/>
      <c r="J971" s="229"/>
      <c r="K971" s="229"/>
      <c r="L971" s="229"/>
      <c r="M971" s="229"/>
      <c r="N971" s="232"/>
    </row>
    <row r="972" hidden="1" spans="1:14">
      <c r="A972" s="235"/>
      <c r="B972" s="230" t="s">
        <v>1038</v>
      </c>
      <c r="C972" s="229">
        <v>1.116</v>
      </c>
      <c r="D972" s="229">
        <v>1.116</v>
      </c>
      <c r="E972" s="229">
        <v>1.116</v>
      </c>
      <c r="F972" s="229"/>
      <c r="G972" s="229"/>
      <c r="H972" s="229"/>
      <c r="I972" s="229"/>
      <c r="J972" s="229"/>
      <c r="K972" s="229"/>
      <c r="L972" s="229"/>
      <c r="M972" s="229"/>
      <c r="N972" s="232"/>
    </row>
    <row r="973" hidden="1" spans="1:14">
      <c r="A973" s="235"/>
      <c r="B973" s="230" t="s">
        <v>1037</v>
      </c>
      <c r="C973" s="229">
        <v>20.873784</v>
      </c>
      <c r="D973" s="229">
        <v>20.873784</v>
      </c>
      <c r="E973" s="229">
        <v>20.873784</v>
      </c>
      <c r="F973" s="229"/>
      <c r="G973" s="229"/>
      <c r="H973" s="229"/>
      <c r="I973" s="229"/>
      <c r="J973" s="229"/>
      <c r="K973" s="229"/>
      <c r="L973" s="229"/>
      <c r="M973" s="229"/>
      <c r="N973" s="232"/>
    </row>
    <row r="974" hidden="1" spans="1:14">
      <c r="A974" s="235"/>
      <c r="B974" s="230" t="s">
        <v>1042</v>
      </c>
      <c r="C974" s="229">
        <v>0.17</v>
      </c>
      <c r="D974" s="229">
        <v>0.17</v>
      </c>
      <c r="E974" s="229">
        <v>0.17</v>
      </c>
      <c r="F974" s="229"/>
      <c r="G974" s="229"/>
      <c r="H974" s="229"/>
      <c r="I974" s="229"/>
      <c r="J974" s="229"/>
      <c r="K974" s="229"/>
      <c r="L974" s="229"/>
      <c r="M974" s="229"/>
      <c r="N974" s="232"/>
    </row>
    <row r="975" hidden="1" spans="1:14">
      <c r="A975" s="235"/>
      <c r="B975" s="230" t="s">
        <v>1029</v>
      </c>
      <c r="C975" s="229">
        <v>24.31</v>
      </c>
      <c r="D975" s="229">
        <v>24.31</v>
      </c>
      <c r="E975" s="229">
        <v>24.31</v>
      </c>
      <c r="F975" s="229"/>
      <c r="G975" s="229"/>
      <c r="H975" s="229"/>
      <c r="I975" s="229"/>
      <c r="J975" s="229"/>
      <c r="K975" s="229"/>
      <c r="L975" s="229"/>
      <c r="M975" s="229"/>
      <c r="N975" s="232"/>
    </row>
    <row r="976" spans="1:14">
      <c r="A976" s="227">
        <v>304002</v>
      </c>
      <c r="B976" s="231" t="s">
        <v>711</v>
      </c>
      <c r="C976" s="229">
        <v>2772.678172</v>
      </c>
      <c r="D976" s="229">
        <v>2772.678172</v>
      </c>
      <c r="E976" s="229">
        <v>2772.678172</v>
      </c>
      <c r="F976" s="229"/>
      <c r="G976" s="229"/>
      <c r="H976" s="229"/>
      <c r="I976" s="229"/>
      <c r="J976" s="229"/>
      <c r="K976" s="229"/>
      <c r="L976" s="229"/>
      <c r="M976" s="229"/>
      <c r="N976" s="233" t="s">
        <v>578</v>
      </c>
    </row>
    <row r="977" hidden="1" spans="1:14">
      <c r="A977" s="235"/>
      <c r="B977" s="230" t="s">
        <v>1034</v>
      </c>
      <c r="C977" s="229">
        <v>8.112</v>
      </c>
      <c r="D977" s="229">
        <v>8.112</v>
      </c>
      <c r="E977" s="229">
        <v>8.112</v>
      </c>
      <c r="F977" s="229"/>
      <c r="G977" s="229"/>
      <c r="H977" s="229"/>
      <c r="I977" s="229"/>
      <c r="J977" s="229"/>
      <c r="K977" s="229"/>
      <c r="L977" s="229"/>
      <c r="M977" s="229"/>
      <c r="N977" s="232"/>
    </row>
    <row r="978" hidden="1" spans="1:14">
      <c r="A978" s="235"/>
      <c r="B978" s="230" t="s">
        <v>1037</v>
      </c>
      <c r="C978" s="229">
        <v>24.735816</v>
      </c>
      <c r="D978" s="229">
        <v>24.735816</v>
      </c>
      <c r="E978" s="229">
        <v>24.735816</v>
      </c>
      <c r="F978" s="229"/>
      <c r="G978" s="229"/>
      <c r="H978" s="229"/>
      <c r="I978" s="229"/>
      <c r="J978" s="229"/>
      <c r="K978" s="229"/>
      <c r="L978" s="229"/>
      <c r="M978" s="229"/>
      <c r="N978" s="232"/>
    </row>
    <row r="979" hidden="1" spans="1:14">
      <c r="A979" s="235"/>
      <c r="B979" s="230" t="s">
        <v>1028</v>
      </c>
      <c r="C979" s="229">
        <v>244.02</v>
      </c>
      <c r="D979" s="229">
        <v>244.02</v>
      </c>
      <c r="E979" s="229">
        <v>244.02</v>
      </c>
      <c r="F979" s="229"/>
      <c r="G979" s="229"/>
      <c r="H979" s="229"/>
      <c r="I979" s="229"/>
      <c r="J979" s="229"/>
      <c r="K979" s="229"/>
      <c r="L979" s="229"/>
      <c r="M979" s="229"/>
      <c r="N979" s="232"/>
    </row>
    <row r="980" hidden="1" spans="1:14">
      <c r="A980" s="235"/>
      <c r="B980" s="230" t="s">
        <v>1046</v>
      </c>
      <c r="C980" s="229">
        <v>0.602004</v>
      </c>
      <c r="D980" s="229">
        <v>0.602004</v>
      </c>
      <c r="E980" s="229">
        <v>0.602004</v>
      </c>
      <c r="F980" s="229"/>
      <c r="G980" s="229"/>
      <c r="H980" s="229"/>
      <c r="I980" s="229"/>
      <c r="J980" s="229"/>
      <c r="K980" s="229"/>
      <c r="L980" s="229"/>
      <c r="M980" s="229"/>
      <c r="N980" s="232"/>
    </row>
    <row r="981" hidden="1" spans="1:14">
      <c r="A981" s="235"/>
      <c r="B981" s="230" t="s">
        <v>1031</v>
      </c>
      <c r="C981" s="229">
        <v>3.96</v>
      </c>
      <c r="D981" s="229">
        <v>3.96</v>
      </c>
      <c r="E981" s="229">
        <v>3.96</v>
      </c>
      <c r="F981" s="229"/>
      <c r="G981" s="229"/>
      <c r="H981" s="229"/>
      <c r="I981" s="229"/>
      <c r="J981" s="229"/>
      <c r="K981" s="229"/>
      <c r="L981" s="229"/>
      <c r="M981" s="229"/>
      <c r="N981" s="232"/>
    </row>
    <row r="982" hidden="1" spans="1:14">
      <c r="A982" s="235"/>
      <c r="B982" s="230" t="s">
        <v>1032</v>
      </c>
      <c r="C982" s="229">
        <v>1634.10658</v>
      </c>
      <c r="D982" s="229">
        <v>1634.10658</v>
      </c>
      <c r="E982" s="229">
        <v>1634.10658</v>
      </c>
      <c r="F982" s="229"/>
      <c r="G982" s="229"/>
      <c r="H982" s="229"/>
      <c r="I982" s="229"/>
      <c r="J982" s="229"/>
      <c r="K982" s="229"/>
      <c r="L982" s="229"/>
      <c r="M982" s="229"/>
      <c r="N982" s="232"/>
    </row>
    <row r="983" hidden="1" spans="1:14">
      <c r="A983" s="235"/>
      <c r="B983" s="230" t="s">
        <v>1042</v>
      </c>
      <c r="C983" s="229">
        <v>0.17</v>
      </c>
      <c r="D983" s="229">
        <v>0.17</v>
      </c>
      <c r="E983" s="229">
        <v>0.17</v>
      </c>
      <c r="F983" s="229"/>
      <c r="G983" s="229"/>
      <c r="H983" s="229"/>
      <c r="I983" s="229"/>
      <c r="J983" s="229"/>
      <c r="K983" s="229"/>
      <c r="L983" s="229"/>
      <c r="M983" s="229"/>
      <c r="N983" s="232"/>
    </row>
    <row r="984" hidden="1" spans="1:14">
      <c r="A984" s="235"/>
      <c r="B984" s="230" t="s">
        <v>1029</v>
      </c>
      <c r="C984" s="229">
        <v>104.49</v>
      </c>
      <c r="D984" s="229">
        <v>104.49</v>
      </c>
      <c r="E984" s="229">
        <v>104.49</v>
      </c>
      <c r="F984" s="229"/>
      <c r="G984" s="229"/>
      <c r="H984" s="229"/>
      <c r="I984" s="229"/>
      <c r="J984" s="229"/>
      <c r="K984" s="229"/>
      <c r="L984" s="229"/>
      <c r="M984" s="229"/>
      <c r="N984" s="232"/>
    </row>
    <row r="985" hidden="1" spans="1:14">
      <c r="A985" s="235"/>
      <c r="B985" s="230" t="s">
        <v>1033</v>
      </c>
      <c r="C985" s="229">
        <v>502.21085</v>
      </c>
      <c r="D985" s="229">
        <v>502.21085</v>
      </c>
      <c r="E985" s="229">
        <v>502.21085</v>
      </c>
      <c r="F985" s="229"/>
      <c r="G985" s="229"/>
      <c r="H985" s="229"/>
      <c r="I985" s="229"/>
      <c r="J985" s="229"/>
      <c r="K985" s="229"/>
      <c r="L985" s="229"/>
      <c r="M985" s="229"/>
      <c r="N985" s="232"/>
    </row>
    <row r="986" hidden="1" spans="1:14">
      <c r="A986" s="235"/>
      <c r="B986" s="230" t="s">
        <v>1036</v>
      </c>
      <c r="C986" s="229">
        <v>196.09279</v>
      </c>
      <c r="D986" s="229">
        <v>196.09279</v>
      </c>
      <c r="E986" s="229">
        <v>196.09279</v>
      </c>
      <c r="F986" s="229"/>
      <c r="G986" s="229"/>
      <c r="H986" s="229"/>
      <c r="I986" s="229"/>
      <c r="J986" s="229"/>
      <c r="K986" s="229"/>
      <c r="L986" s="229"/>
      <c r="M986" s="229"/>
      <c r="N986" s="232"/>
    </row>
    <row r="987" hidden="1" spans="1:14">
      <c r="A987" s="235"/>
      <c r="B987" s="230" t="s">
        <v>1038</v>
      </c>
      <c r="C987" s="229">
        <v>1.196</v>
      </c>
      <c r="D987" s="229">
        <v>1.196</v>
      </c>
      <c r="E987" s="229">
        <v>1.196</v>
      </c>
      <c r="F987" s="229"/>
      <c r="G987" s="229"/>
      <c r="H987" s="229"/>
      <c r="I987" s="229"/>
      <c r="J987" s="229"/>
      <c r="K987" s="229"/>
      <c r="L987" s="229"/>
      <c r="M987" s="229"/>
      <c r="N987" s="232"/>
    </row>
    <row r="988" hidden="1" spans="1:14">
      <c r="A988" s="235"/>
      <c r="B988" s="230" t="s">
        <v>1027</v>
      </c>
      <c r="C988" s="229">
        <v>12</v>
      </c>
      <c r="D988" s="229">
        <v>12</v>
      </c>
      <c r="E988" s="229">
        <v>12</v>
      </c>
      <c r="F988" s="229"/>
      <c r="G988" s="229"/>
      <c r="H988" s="229"/>
      <c r="I988" s="229"/>
      <c r="J988" s="229"/>
      <c r="K988" s="229"/>
      <c r="L988" s="229"/>
      <c r="M988" s="229"/>
      <c r="N988" s="232"/>
    </row>
    <row r="989" hidden="1" spans="1:14">
      <c r="A989" s="235"/>
      <c r="B989" s="230" t="s">
        <v>1039</v>
      </c>
      <c r="C989" s="229">
        <v>32.682132</v>
      </c>
      <c r="D989" s="229">
        <v>32.682132</v>
      </c>
      <c r="E989" s="229">
        <v>32.682132</v>
      </c>
      <c r="F989" s="229"/>
      <c r="G989" s="229"/>
      <c r="H989" s="229"/>
      <c r="I989" s="229"/>
      <c r="J989" s="229"/>
      <c r="K989" s="229"/>
      <c r="L989" s="229"/>
      <c r="M989" s="229"/>
      <c r="N989" s="232"/>
    </row>
    <row r="990" hidden="1" spans="1:14">
      <c r="A990" s="235"/>
      <c r="B990" s="230" t="s">
        <v>1035</v>
      </c>
      <c r="C990" s="229">
        <v>8.3</v>
      </c>
      <c r="D990" s="229">
        <v>8.3</v>
      </c>
      <c r="E990" s="229">
        <v>8.3</v>
      </c>
      <c r="F990" s="229"/>
      <c r="G990" s="229"/>
      <c r="H990" s="229"/>
      <c r="I990" s="229"/>
      <c r="J990" s="229"/>
      <c r="K990" s="229"/>
      <c r="L990" s="229"/>
      <c r="M990" s="229"/>
      <c r="N990" s="232"/>
    </row>
    <row r="991" spans="1:14">
      <c r="A991" s="227">
        <v>304003</v>
      </c>
      <c r="B991" s="231" t="s">
        <v>712</v>
      </c>
      <c r="C991" s="229">
        <v>449.80127</v>
      </c>
      <c r="D991" s="229">
        <v>449.80127</v>
      </c>
      <c r="E991" s="229">
        <v>449.80127</v>
      </c>
      <c r="F991" s="229"/>
      <c r="G991" s="229"/>
      <c r="H991" s="229"/>
      <c r="I991" s="229"/>
      <c r="J991" s="229"/>
      <c r="K991" s="229"/>
      <c r="L991" s="229"/>
      <c r="M991" s="229"/>
      <c r="N991" s="233" t="s">
        <v>578</v>
      </c>
    </row>
    <row r="992" hidden="1" spans="1:14">
      <c r="A992" s="235"/>
      <c r="B992" s="230" t="s">
        <v>1039</v>
      </c>
      <c r="C992" s="229">
        <v>5.274817</v>
      </c>
      <c r="D992" s="229">
        <v>5.274817</v>
      </c>
      <c r="E992" s="229">
        <v>5.274817</v>
      </c>
      <c r="F992" s="229"/>
      <c r="G992" s="229"/>
      <c r="H992" s="229"/>
      <c r="I992" s="229"/>
      <c r="J992" s="229"/>
      <c r="K992" s="229"/>
      <c r="L992" s="229"/>
      <c r="M992" s="229"/>
      <c r="N992" s="232"/>
    </row>
    <row r="993" hidden="1" spans="1:14">
      <c r="A993" s="235"/>
      <c r="B993" s="230" t="s">
        <v>1031</v>
      </c>
      <c r="C993" s="229">
        <v>1.98</v>
      </c>
      <c r="D993" s="229">
        <v>1.98</v>
      </c>
      <c r="E993" s="229">
        <v>1.98</v>
      </c>
      <c r="F993" s="229"/>
      <c r="G993" s="229"/>
      <c r="H993" s="229"/>
      <c r="I993" s="229"/>
      <c r="J993" s="229"/>
      <c r="K993" s="229"/>
      <c r="L993" s="229"/>
      <c r="M993" s="229"/>
      <c r="N993" s="232"/>
    </row>
    <row r="994" hidden="1" spans="1:14">
      <c r="A994" s="235"/>
      <c r="B994" s="230" t="s">
        <v>1035</v>
      </c>
      <c r="C994" s="229">
        <v>1.4</v>
      </c>
      <c r="D994" s="229">
        <v>1.4</v>
      </c>
      <c r="E994" s="229">
        <v>1.4</v>
      </c>
      <c r="F994" s="229"/>
      <c r="G994" s="229"/>
      <c r="H994" s="229"/>
      <c r="I994" s="229"/>
      <c r="J994" s="229"/>
      <c r="K994" s="229"/>
      <c r="L994" s="229"/>
      <c r="M994" s="229"/>
      <c r="N994" s="232"/>
    </row>
    <row r="995" hidden="1" spans="1:14">
      <c r="A995" s="235"/>
      <c r="B995" s="230" t="s">
        <v>1036</v>
      </c>
      <c r="C995" s="229">
        <v>31.648905</v>
      </c>
      <c r="D995" s="229">
        <v>31.648905</v>
      </c>
      <c r="E995" s="229">
        <v>31.648905</v>
      </c>
      <c r="F995" s="229"/>
      <c r="G995" s="229"/>
      <c r="H995" s="229"/>
      <c r="I995" s="229"/>
      <c r="J995" s="229"/>
      <c r="K995" s="229"/>
      <c r="L995" s="229"/>
      <c r="M995" s="229"/>
      <c r="N995" s="232"/>
    </row>
    <row r="996" hidden="1" spans="1:14">
      <c r="A996" s="235"/>
      <c r="B996" s="230" t="s">
        <v>1038</v>
      </c>
      <c r="C996" s="229">
        <v>0.3</v>
      </c>
      <c r="D996" s="229">
        <v>0.3</v>
      </c>
      <c r="E996" s="229">
        <v>0.3</v>
      </c>
      <c r="F996" s="229"/>
      <c r="G996" s="229"/>
      <c r="H996" s="229"/>
      <c r="I996" s="229"/>
      <c r="J996" s="229"/>
      <c r="K996" s="229"/>
      <c r="L996" s="229"/>
      <c r="M996" s="229"/>
      <c r="N996" s="232"/>
    </row>
    <row r="997" hidden="1" spans="1:14">
      <c r="A997" s="235"/>
      <c r="B997" s="230" t="s">
        <v>1029</v>
      </c>
      <c r="C997" s="229">
        <v>17.01</v>
      </c>
      <c r="D997" s="229">
        <v>17.01</v>
      </c>
      <c r="E997" s="229">
        <v>17.01</v>
      </c>
      <c r="F997" s="229"/>
      <c r="G997" s="229"/>
      <c r="H997" s="229"/>
      <c r="I997" s="229"/>
      <c r="J997" s="229"/>
      <c r="K997" s="229"/>
      <c r="L997" s="229"/>
      <c r="M997" s="229"/>
      <c r="N997" s="232"/>
    </row>
    <row r="998" hidden="1" spans="1:14">
      <c r="A998" s="235"/>
      <c r="B998" s="230" t="s">
        <v>1032</v>
      </c>
      <c r="C998" s="229">
        <v>263.740872</v>
      </c>
      <c r="D998" s="229">
        <v>263.740872</v>
      </c>
      <c r="E998" s="229">
        <v>263.740872</v>
      </c>
      <c r="F998" s="229"/>
      <c r="G998" s="229"/>
      <c r="H998" s="229"/>
      <c r="I998" s="229"/>
      <c r="J998" s="229"/>
      <c r="K998" s="229"/>
      <c r="L998" s="229"/>
      <c r="M998" s="229"/>
      <c r="N998" s="232"/>
    </row>
    <row r="999" hidden="1" spans="1:14">
      <c r="A999" s="235"/>
      <c r="B999" s="230" t="s">
        <v>1027</v>
      </c>
      <c r="C999" s="229">
        <v>2</v>
      </c>
      <c r="D999" s="229">
        <v>2</v>
      </c>
      <c r="E999" s="229">
        <v>2</v>
      </c>
      <c r="F999" s="229"/>
      <c r="G999" s="229"/>
      <c r="H999" s="229"/>
      <c r="I999" s="229"/>
      <c r="J999" s="229"/>
      <c r="K999" s="229"/>
      <c r="L999" s="229"/>
      <c r="M999" s="229"/>
      <c r="N999" s="232"/>
    </row>
    <row r="1000" hidden="1" spans="1:14">
      <c r="A1000" s="235"/>
      <c r="B1000" s="230" t="s">
        <v>1034</v>
      </c>
      <c r="C1000" s="229">
        <v>3.042</v>
      </c>
      <c r="D1000" s="229">
        <v>3.042</v>
      </c>
      <c r="E1000" s="229">
        <v>3.042</v>
      </c>
      <c r="F1000" s="229"/>
      <c r="G1000" s="229"/>
      <c r="H1000" s="229"/>
      <c r="I1000" s="229"/>
      <c r="J1000" s="229"/>
      <c r="K1000" s="229"/>
      <c r="L1000" s="229"/>
      <c r="M1000" s="229"/>
      <c r="N1000" s="232"/>
    </row>
    <row r="1001" hidden="1" spans="1:14">
      <c r="A1001" s="235"/>
      <c r="B1001" s="230" t="s">
        <v>1037</v>
      </c>
      <c r="C1001" s="229">
        <v>1.029</v>
      </c>
      <c r="D1001" s="229">
        <v>1.029</v>
      </c>
      <c r="E1001" s="229">
        <v>1.029</v>
      </c>
      <c r="F1001" s="229"/>
      <c r="G1001" s="229"/>
      <c r="H1001" s="229"/>
      <c r="I1001" s="229"/>
      <c r="J1001" s="229"/>
      <c r="K1001" s="229"/>
      <c r="L1001" s="229"/>
      <c r="M1001" s="229"/>
      <c r="N1001" s="232"/>
    </row>
    <row r="1002" hidden="1" spans="1:14">
      <c r="A1002" s="235"/>
      <c r="B1002" s="230" t="s">
        <v>1033</v>
      </c>
      <c r="C1002" s="229">
        <v>81.215676</v>
      </c>
      <c r="D1002" s="229">
        <v>81.215676</v>
      </c>
      <c r="E1002" s="229">
        <v>81.215676</v>
      </c>
      <c r="F1002" s="229"/>
      <c r="G1002" s="229"/>
      <c r="H1002" s="229"/>
      <c r="I1002" s="229"/>
      <c r="J1002" s="229"/>
      <c r="K1002" s="229"/>
      <c r="L1002" s="229"/>
      <c r="M1002" s="229"/>
      <c r="N1002" s="232"/>
    </row>
    <row r="1003" hidden="1" spans="1:14">
      <c r="A1003" s="235"/>
      <c r="B1003" s="230" t="s">
        <v>1028</v>
      </c>
      <c r="C1003" s="229">
        <v>41.16</v>
      </c>
      <c r="D1003" s="229">
        <v>41.16</v>
      </c>
      <c r="E1003" s="229">
        <v>41.16</v>
      </c>
      <c r="F1003" s="229"/>
      <c r="G1003" s="229"/>
      <c r="H1003" s="229"/>
      <c r="I1003" s="229"/>
      <c r="J1003" s="229"/>
      <c r="K1003" s="229"/>
      <c r="L1003" s="229"/>
      <c r="M1003" s="229"/>
      <c r="N1003" s="232"/>
    </row>
    <row r="1004" spans="1:14">
      <c r="A1004" s="227">
        <v>304006</v>
      </c>
      <c r="B1004" s="231" t="s">
        <v>713</v>
      </c>
      <c r="C1004" s="229">
        <v>1289.757813</v>
      </c>
      <c r="D1004" s="229">
        <v>1289.757813</v>
      </c>
      <c r="E1004" s="229">
        <v>1289.757813</v>
      </c>
      <c r="F1004" s="229"/>
      <c r="G1004" s="229"/>
      <c r="H1004" s="229"/>
      <c r="I1004" s="229"/>
      <c r="J1004" s="229"/>
      <c r="K1004" s="229"/>
      <c r="L1004" s="229"/>
      <c r="M1004" s="229"/>
      <c r="N1004" s="233" t="s">
        <v>578</v>
      </c>
    </row>
    <row r="1005" hidden="1" spans="1:14">
      <c r="A1005" s="235"/>
      <c r="B1005" s="230" t="s">
        <v>1033</v>
      </c>
      <c r="C1005" s="229">
        <v>245.149744</v>
      </c>
      <c r="D1005" s="229">
        <v>245.149744</v>
      </c>
      <c r="E1005" s="229">
        <v>245.149744</v>
      </c>
      <c r="F1005" s="229"/>
      <c r="G1005" s="229"/>
      <c r="H1005" s="229"/>
      <c r="I1005" s="229"/>
      <c r="J1005" s="229"/>
      <c r="K1005" s="229"/>
      <c r="L1005" s="229"/>
      <c r="M1005" s="229"/>
      <c r="N1005" s="232"/>
    </row>
    <row r="1006" hidden="1" spans="1:14">
      <c r="A1006" s="235"/>
      <c r="B1006" s="230" t="s">
        <v>1046</v>
      </c>
      <c r="C1006" s="229">
        <v>0.87984</v>
      </c>
      <c r="D1006" s="229">
        <v>0.87984</v>
      </c>
      <c r="E1006" s="229">
        <v>0.87984</v>
      </c>
      <c r="F1006" s="229"/>
      <c r="G1006" s="229"/>
      <c r="H1006" s="229"/>
      <c r="I1006" s="229"/>
      <c r="J1006" s="229"/>
      <c r="K1006" s="229"/>
      <c r="L1006" s="229"/>
      <c r="M1006" s="229"/>
      <c r="N1006" s="232"/>
    </row>
    <row r="1007" hidden="1" spans="1:14">
      <c r="A1007" s="235"/>
      <c r="B1007" s="230" t="s">
        <v>1035</v>
      </c>
      <c r="C1007" s="229">
        <v>7.6</v>
      </c>
      <c r="D1007" s="229">
        <v>7.6</v>
      </c>
      <c r="E1007" s="229">
        <v>7.6</v>
      </c>
      <c r="F1007" s="229"/>
      <c r="G1007" s="229"/>
      <c r="H1007" s="229"/>
      <c r="I1007" s="229"/>
      <c r="J1007" s="229"/>
      <c r="K1007" s="229"/>
      <c r="L1007" s="229"/>
      <c r="M1007" s="229"/>
      <c r="N1007" s="232"/>
    </row>
    <row r="1008" hidden="1" spans="1:14">
      <c r="A1008" s="235"/>
      <c r="B1008" s="230" t="s">
        <v>1038</v>
      </c>
      <c r="C1008" s="229">
        <v>0.93</v>
      </c>
      <c r="D1008" s="229">
        <v>0.93</v>
      </c>
      <c r="E1008" s="229">
        <v>0.93</v>
      </c>
      <c r="F1008" s="229"/>
      <c r="G1008" s="229"/>
      <c r="H1008" s="229"/>
      <c r="I1008" s="229"/>
      <c r="J1008" s="229"/>
      <c r="K1008" s="229"/>
      <c r="L1008" s="229"/>
      <c r="M1008" s="229"/>
      <c r="N1008" s="232"/>
    </row>
    <row r="1009" hidden="1" spans="1:14">
      <c r="A1009" s="235"/>
      <c r="B1009" s="230" t="s">
        <v>1034</v>
      </c>
      <c r="C1009" s="229">
        <v>35.49</v>
      </c>
      <c r="D1009" s="229">
        <v>35.49</v>
      </c>
      <c r="E1009" s="229">
        <v>35.49</v>
      </c>
      <c r="F1009" s="229"/>
      <c r="G1009" s="229"/>
      <c r="H1009" s="229"/>
      <c r="I1009" s="229"/>
      <c r="J1009" s="229"/>
      <c r="K1009" s="229"/>
      <c r="L1009" s="229"/>
      <c r="M1009" s="229"/>
      <c r="N1009" s="232"/>
    </row>
    <row r="1010" hidden="1" spans="1:14">
      <c r="A1010" s="235"/>
      <c r="B1010" s="230" t="s">
        <v>1029</v>
      </c>
      <c r="C1010" s="229">
        <v>118.34</v>
      </c>
      <c r="D1010" s="229">
        <v>118.34</v>
      </c>
      <c r="E1010" s="229">
        <v>118.34</v>
      </c>
      <c r="F1010" s="229"/>
      <c r="G1010" s="229"/>
      <c r="H1010" s="229"/>
      <c r="I1010" s="229"/>
      <c r="J1010" s="229"/>
      <c r="K1010" s="229"/>
      <c r="L1010" s="229"/>
      <c r="M1010" s="229"/>
      <c r="N1010" s="232"/>
    </row>
    <row r="1011" hidden="1" spans="1:14">
      <c r="A1011" s="235"/>
      <c r="B1011" s="230" t="s">
        <v>1036</v>
      </c>
      <c r="C1011" s="229">
        <v>91.408235</v>
      </c>
      <c r="D1011" s="229">
        <v>91.408235</v>
      </c>
      <c r="E1011" s="229">
        <v>91.408235</v>
      </c>
      <c r="F1011" s="229"/>
      <c r="G1011" s="229"/>
      <c r="H1011" s="229"/>
      <c r="I1011" s="229"/>
      <c r="J1011" s="229"/>
      <c r="K1011" s="229"/>
      <c r="L1011" s="229"/>
      <c r="M1011" s="229"/>
      <c r="N1011" s="232"/>
    </row>
    <row r="1012" hidden="1" spans="1:14">
      <c r="A1012" s="235"/>
      <c r="B1012" s="230" t="s">
        <v>1027</v>
      </c>
      <c r="C1012" s="229">
        <v>8</v>
      </c>
      <c r="D1012" s="229">
        <v>8</v>
      </c>
      <c r="E1012" s="229">
        <v>8</v>
      </c>
      <c r="F1012" s="229"/>
      <c r="G1012" s="229"/>
      <c r="H1012" s="229"/>
      <c r="I1012" s="229"/>
      <c r="J1012" s="229"/>
      <c r="K1012" s="229"/>
      <c r="L1012" s="229"/>
      <c r="M1012" s="229"/>
      <c r="N1012" s="232"/>
    </row>
    <row r="1013" hidden="1" spans="1:14">
      <c r="A1013" s="235"/>
      <c r="B1013" s="230" t="s">
        <v>1031</v>
      </c>
      <c r="C1013" s="229">
        <v>3.96</v>
      </c>
      <c r="D1013" s="229">
        <v>3.96</v>
      </c>
      <c r="E1013" s="229">
        <v>3.96</v>
      </c>
      <c r="F1013" s="229"/>
      <c r="G1013" s="229"/>
      <c r="H1013" s="229"/>
      <c r="I1013" s="229"/>
      <c r="J1013" s="229"/>
      <c r="K1013" s="229"/>
      <c r="L1013" s="229"/>
      <c r="M1013" s="229"/>
      <c r="N1013" s="232"/>
    </row>
    <row r="1014" hidden="1" spans="1:14">
      <c r="A1014" s="235"/>
      <c r="B1014" s="230" t="s">
        <v>1037</v>
      </c>
      <c r="C1014" s="229">
        <v>1.029996</v>
      </c>
      <c r="D1014" s="229">
        <v>1.029996</v>
      </c>
      <c r="E1014" s="229">
        <v>1.029996</v>
      </c>
      <c r="F1014" s="229"/>
      <c r="G1014" s="229"/>
      <c r="H1014" s="229"/>
      <c r="I1014" s="229"/>
      <c r="J1014" s="229"/>
      <c r="K1014" s="229"/>
      <c r="L1014" s="229"/>
      <c r="M1014" s="229"/>
      <c r="N1014" s="232"/>
    </row>
    <row r="1015" hidden="1" spans="1:14">
      <c r="A1015" s="235"/>
      <c r="B1015" s="230" t="s">
        <v>1032</v>
      </c>
      <c r="C1015" s="229">
        <v>761.735292</v>
      </c>
      <c r="D1015" s="229">
        <v>761.735292</v>
      </c>
      <c r="E1015" s="229">
        <v>761.735292</v>
      </c>
      <c r="F1015" s="229"/>
      <c r="G1015" s="229"/>
      <c r="H1015" s="229"/>
      <c r="I1015" s="229"/>
      <c r="J1015" s="229"/>
      <c r="K1015" s="229"/>
      <c r="L1015" s="229"/>
      <c r="M1015" s="229"/>
      <c r="N1015" s="232"/>
    </row>
    <row r="1016" hidden="1" spans="1:14">
      <c r="A1016" s="235"/>
      <c r="B1016" s="230" t="s">
        <v>1039</v>
      </c>
      <c r="C1016" s="229">
        <v>15.234706</v>
      </c>
      <c r="D1016" s="229">
        <v>15.234706</v>
      </c>
      <c r="E1016" s="229">
        <v>15.234706</v>
      </c>
      <c r="F1016" s="229"/>
      <c r="G1016" s="229"/>
      <c r="H1016" s="229"/>
      <c r="I1016" s="229"/>
      <c r="J1016" s="229"/>
      <c r="K1016" s="229"/>
      <c r="L1016" s="229"/>
      <c r="M1016" s="229"/>
      <c r="N1016" s="232"/>
    </row>
    <row r="1017" spans="1:14">
      <c r="A1017" s="227">
        <v>304008</v>
      </c>
      <c r="B1017" s="231" t="s">
        <v>714</v>
      </c>
      <c r="C1017" s="229">
        <v>487.796521</v>
      </c>
      <c r="D1017" s="229">
        <v>487.796521</v>
      </c>
      <c r="E1017" s="229">
        <v>487.796521</v>
      </c>
      <c r="F1017" s="229"/>
      <c r="G1017" s="229"/>
      <c r="H1017" s="229"/>
      <c r="I1017" s="229"/>
      <c r="J1017" s="229"/>
      <c r="K1017" s="229"/>
      <c r="L1017" s="229"/>
      <c r="M1017" s="229"/>
      <c r="N1017" s="233" t="s">
        <v>578</v>
      </c>
    </row>
    <row r="1018" hidden="1" spans="1:14">
      <c r="A1018" s="235"/>
      <c r="B1018" s="230" t="s">
        <v>1033</v>
      </c>
      <c r="C1018" s="229">
        <v>90.767815</v>
      </c>
      <c r="D1018" s="229">
        <v>90.767815</v>
      </c>
      <c r="E1018" s="229">
        <v>90.767815</v>
      </c>
      <c r="F1018" s="229"/>
      <c r="G1018" s="229"/>
      <c r="H1018" s="229"/>
      <c r="I1018" s="229"/>
      <c r="J1018" s="229"/>
      <c r="K1018" s="229"/>
      <c r="L1018" s="229"/>
      <c r="M1018" s="229"/>
      <c r="N1018" s="232"/>
    </row>
    <row r="1019" hidden="1" spans="1:14">
      <c r="A1019" s="235"/>
      <c r="B1019" s="230" t="s">
        <v>1038</v>
      </c>
      <c r="C1019" s="229">
        <v>0.18</v>
      </c>
      <c r="D1019" s="229">
        <v>0.18</v>
      </c>
      <c r="E1019" s="229">
        <v>0.18</v>
      </c>
      <c r="F1019" s="229"/>
      <c r="G1019" s="229"/>
      <c r="H1019" s="229"/>
      <c r="I1019" s="229"/>
      <c r="J1019" s="229"/>
      <c r="K1019" s="229"/>
      <c r="L1019" s="229"/>
      <c r="M1019" s="229"/>
      <c r="N1019" s="232"/>
    </row>
    <row r="1020" hidden="1" spans="1:14">
      <c r="A1020" s="235"/>
      <c r="B1020" s="230" t="s">
        <v>1035</v>
      </c>
      <c r="C1020" s="229">
        <v>1.9</v>
      </c>
      <c r="D1020" s="229">
        <v>1.9</v>
      </c>
      <c r="E1020" s="229">
        <v>1.9</v>
      </c>
      <c r="F1020" s="229"/>
      <c r="G1020" s="229"/>
      <c r="H1020" s="229"/>
      <c r="I1020" s="229"/>
      <c r="J1020" s="229"/>
      <c r="K1020" s="229"/>
      <c r="L1020" s="229"/>
      <c r="M1020" s="229"/>
      <c r="N1020" s="232"/>
    </row>
    <row r="1021" hidden="1" spans="1:14">
      <c r="A1021" s="235"/>
      <c r="B1021" s="230" t="s">
        <v>1037</v>
      </c>
      <c r="C1021" s="229">
        <v>1.3965</v>
      </c>
      <c r="D1021" s="229">
        <v>1.3965</v>
      </c>
      <c r="E1021" s="229">
        <v>1.3965</v>
      </c>
      <c r="F1021" s="229"/>
      <c r="G1021" s="229"/>
      <c r="H1021" s="229"/>
      <c r="I1021" s="229"/>
      <c r="J1021" s="229"/>
      <c r="K1021" s="229"/>
      <c r="L1021" s="229"/>
      <c r="M1021" s="229"/>
      <c r="N1021" s="232"/>
    </row>
    <row r="1022" hidden="1" spans="1:14">
      <c r="A1022" s="235"/>
      <c r="B1022" s="230" t="s">
        <v>1031</v>
      </c>
      <c r="C1022" s="229">
        <v>1.98</v>
      </c>
      <c r="D1022" s="229">
        <v>1.98</v>
      </c>
      <c r="E1022" s="229">
        <v>1.98</v>
      </c>
      <c r="F1022" s="229"/>
      <c r="G1022" s="229"/>
      <c r="H1022" s="229"/>
      <c r="I1022" s="229"/>
      <c r="J1022" s="229"/>
      <c r="K1022" s="229"/>
      <c r="L1022" s="229"/>
      <c r="M1022" s="229"/>
      <c r="N1022" s="232"/>
    </row>
    <row r="1023" hidden="1" spans="1:14">
      <c r="A1023" s="235"/>
      <c r="B1023" s="230" t="s">
        <v>1039</v>
      </c>
      <c r="C1023" s="229">
        <v>5.528008</v>
      </c>
      <c r="D1023" s="229">
        <v>5.528008</v>
      </c>
      <c r="E1023" s="229">
        <v>5.528008</v>
      </c>
      <c r="F1023" s="229"/>
      <c r="G1023" s="229"/>
      <c r="H1023" s="229"/>
      <c r="I1023" s="229"/>
      <c r="J1023" s="229"/>
      <c r="K1023" s="229"/>
      <c r="L1023" s="229"/>
      <c r="M1023" s="229"/>
      <c r="N1023" s="232"/>
    </row>
    <row r="1024" hidden="1" spans="1:14">
      <c r="A1024" s="235"/>
      <c r="B1024" s="230" t="s">
        <v>1028</v>
      </c>
      <c r="C1024" s="229">
        <v>55.86</v>
      </c>
      <c r="D1024" s="229">
        <v>55.86</v>
      </c>
      <c r="E1024" s="229">
        <v>55.86</v>
      </c>
      <c r="F1024" s="229"/>
      <c r="G1024" s="229"/>
      <c r="H1024" s="229"/>
      <c r="I1024" s="229"/>
      <c r="J1024" s="229"/>
      <c r="K1024" s="229"/>
      <c r="L1024" s="229"/>
      <c r="M1024" s="229"/>
      <c r="N1024" s="232"/>
    </row>
    <row r="1025" hidden="1" spans="1:14">
      <c r="A1025" s="235"/>
      <c r="B1025" s="230" t="s">
        <v>1029</v>
      </c>
      <c r="C1025" s="229">
        <v>14.61575</v>
      </c>
      <c r="D1025" s="229">
        <v>14.61575</v>
      </c>
      <c r="E1025" s="229">
        <v>14.61575</v>
      </c>
      <c r="F1025" s="229"/>
      <c r="G1025" s="229"/>
      <c r="H1025" s="229"/>
      <c r="I1025" s="229"/>
      <c r="J1025" s="229"/>
      <c r="K1025" s="229"/>
      <c r="L1025" s="229"/>
      <c r="M1025" s="229"/>
      <c r="N1025" s="232"/>
    </row>
    <row r="1026" hidden="1" spans="1:14">
      <c r="A1026" s="235"/>
      <c r="B1026" s="230" t="s">
        <v>1032</v>
      </c>
      <c r="C1026" s="229">
        <v>276.4004</v>
      </c>
      <c r="D1026" s="229">
        <v>276.4004</v>
      </c>
      <c r="E1026" s="229">
        <v>276.4004</v>
      </c>
      <c r="F1026" s="229"/>
      <c r="G1026" s="229"/>
      <c r="H1026" s="229"/>
      <c r="I1026" s="229"/>
      <c r="J1026" s="229"/>
      <c r="K1026" s="229"/>
      <c r="L1026" s="229"/>
      <c r="M1026" s="229"/>
      <c r="N1026" s="232"/>
    </row>
    <row r="1027" hidden="1" spans="1:14">
      <c r="A1027" s="235"/>
      <c r="B1027" s="230" t="s">
        <v>1036</v>
      </c>
      <c r="C1027" s="229">
        <v>33.168048</v>
      </c>
      <c r="D1027" s="229">
        <v>33.168048</v>
      </c>
      <c r="E1027" s="229">
        <v>33.168048</v>
      </c>
      <c r="F1027" s="229"/>
      <c r="G1027" s="229"/>
      <c r="H1027" s="229"/>
      <c r="I1027" s="229"/>
      <c r="J1027" s="229"/>
      <c r="K1027" s="229"/>
      <c r="L1027" s="229"/>
      <c r="M1027" s="229"/>
      <c r="N1027" s="232"/>
    </row>
    <row r="1028" hidden="1" spans="1:14">
      <c r="A1028" s="235"/>
      <c r="B1028" s="230" t="s">
        <v>1027</v>
      </c>
      <c r="C1028" s="229">
        <v>6</v>
      </c>
      <c r="D1028" s="229">
        <v>6</v>
      </c>
      <c r="E1028" s="229">
        <v>6</v>
      </c>
      <c r="F1028" s="229"/>
      <c r="G1028" s="229"/>
      <c r="H1028" s="229"/>
      <c r="I1028" s="229"/>
      <c r="J1028" s="229"/>
      <c r="K1028" s="229"/>
      <c r="L1028" s="229"/>
      <c r="M1028" s="229"/>
      <c r="N1028" s="232"/>
    </row>
    <row r="1029" spans="1:14">
      <c r="A1029" s="227">
        <v>305001</v>
      </c>
      <c r="B1029" s="230" t="s">
        <v>715</v>
      </c>
      <c r="C1029" s="229">
        <v>1086.685689</v>
      </c>
      <c r="D1029" s="229">
        <v>1086.685689</v>
      </c>
      <c r="E1029" s="229">
        <v>1086.685689</v>
      </c>
      <c r="F1029" s="229"/>
      <c r="G1029" s="229"/>
      <c r="H1029" s="229"/>
      <c r="I1029" s="229"/>
      <c r="J1029" s="229"/>
      <c r="K1029" s="229"/>
      <c r="L1029" s="229"/>
      <c r="M1029" s="229"/>
      <c r="N1029" s="233" t="s">
        <v>578</v>
      </c>
    </row>
    <row r="1030" hidden="1" spans="1:14">
      <c r="A1030" s="235"/>
      <c r="B1030" s="230" t="s">
        <v>1033</v>
      </c>
      <c r="C1030" s="229">
        <v>187.379411</v>
      </c>
      <c r="D1030" s="229">
        <v>187.379411</v>
      </c>
      <c r="E1030" s="229">
        <v>187.379411</v>
      </c>
      <c r="F1030" s="229"/>
      <c r="G1030" s="229"/>
      <c r="H1030" s="229"/>
      <c r="I1030" s="229"/>
      <c r="J1030" s="229"/>
      <c r="K1030" s="229"/>
      <c r="L1030" s="229"/>
      <c r="M1030" s="229"/>
      <c r="N1030" s="232"/>
    </row>
    <row r="1031" hidden="1" spans="1:14">
      <c r="A1031" s="235"/>
      <c r="B1031" s="230" t="s">
        <v>1039</v>
      </c>
      <c r="C1031" s="229">
        <v>13.992204</v>
      </c>
      <c r="D1031" s="229">
        <v>13.992204</v>
      </c>
      <c r="E1031" s="229">
        <v>13.992204</v>
      </c>
      <c r="F1031" s="229"/>
      <c r="G1031" s="229"/>
      <c r="H1031" s="229"/>
      <c r="I1031" s="229"/>
      <c r="J1031" s="229"/>
      <c r="K1031" s="229"/>
      <c r="L1031" s="229"/>
      <c r="M1031" s="229"/>
      <c r="N1031" s="232"/>
    </row>
    <row r="1032" hidden="1" spans="1:14">
      <c r="A1032" s="235"/>
      <c r="B1032" s="230" t="s">
        <v>1027</v>
      </c>
      <c r="C1032" s="229">
        <v>8</v>
      </c>
      <c r="D1032" s="229">
        <v>8</v>
      </c>
      <c r="E1032" s="229">
        <v>8</v>
      </c>
      <c r="F1032" s="229"/>
      <c r="G1032" s="229"/>
      <c r="H1032" s="229"/>
      <c r="I1032" s="229"/>
      <c r="J1032" s="229"/>
      <c r="K1032" s="229"/>
      <c r="L1032" s="229"/>
      <c r="M1032" s="229"/>
      <c r="N1032" s="232"/>
    </row>
    <row r="1033" hidden="1" spans="1:14">
      <c r="A1033" s="235"/>
      <c r="B1033" s="230" t="s">
        <v>1038</v>
      </c>
      <c r="C1033" s="229">
        <v>0.09</v>
      </c>
      <c r="D1033" s="229">
        <v>0.09</v>
      </c>
      <c r="E1033" s="229">
        <v>0.09</v>
      </c>
      <c r="F1033" s="229"/>
      <c r="G1033" s="229"/>
      <c r="H1033" s="229"/>
      <c r="I1033" s="229"/>
      <c r="J1033" s="229"/>
      <c r="K1033" s="229"/>
      <c r="L1033" s="229"/>
      <c r="M1033" s="229"/>
      <c r="N1033" s="232"/>
    </row>
    <row r="1034" hidden="1" spans="1:14">
      <c r="A1034" s="235"/>
      <c r="B1034" s="230" t="s">
        <v>1031</v>
      </c>
      <c r="C1034" s="229">
        <v>12.816</v>
      </c>
      <c r="D1034" s="229">
        <v>12.816</v>
      </c>
      <c r="E1034" s="229">
        <v>12.816</v>
      </c>
      <c r="F1034" s="229"/>
      <c r="G1034" s="229"/>
      <c r="H1034" s="229"/>
      <c r="I1034" s="229"/>
      <c r="J1034" s="229"/>
      <c r="K1034" s="229"/>
      <c r="L1034" s="229"/>
      <c r="M1034" s="229"/>
      <c r="N1034" s="232"/>
    </row>
    <row r="1035" hidden="1" spans="1:14">
      <c r="A1035" s="235"/>
      <c r="B1035" s="230" t="s">
        <v>1028</v>
      </c>
      <c r="C1035" s="229">
        <v>9.546</v>
      </c>
      <c r="D1035" s="229">
        <v>9.546</v>
      </c>
      <c r="E1035" s="229">
        <v>9.546</v>
      </c>
      <c r="F1035" s="229"/>
      <c r="G1035" s="229"/>
      <c r="H1035" s="229"/>
      <c r="I1035" s="229"/>
      <c r="J1035" s="229"/>
      <c r="K1035" s="229"/>
      <c r="L1035" s="229"/>
      <c r="M1035" s="229"/>
      <c r="N1035" s="232"/>
    </row>
    <row r="1036" hidden="1" spans="1:14">
      <c r="A1036" s="235"/>
      <c r="B1036" s="230" t="s">
        <v>1032</v>
      </c>
      <c r="C1036" s="229">
        <v>699.6102</v>
      </c>
      <c r="D1036" s="229">
        <v>699.6102</v>
      </c>
      <c r="E1036" s="229">
        <v>699.6102</v>
      </c>
      <c r="F1036" s="229"/>
      <c r="G1036" s="229"/>
      <c r="H1036" s="229"/>
      <c r="I1036" s="229"/>
      <c r="J1036" s="229"/>
      <c r="K1036" s="229"/>
      <c r="L1036" s="229"/>
      <c r="M1036" s="229"/>
      <c r="N1036" s="232"/>
    </row>
    <row r="1037" hidden="1" spans="1:14">
      <c r="A1037" s="235"/>
      <c r="B1037" s="230" t="s">
        <v>1036</v>
      </c>
      <c r="C1037" s="229">
        <v>83.953224</v>
      </c>
      <c r="D1037" s="229">
        <v>83.953224</v>
      </c>
      <c r="E1037" s="229">
        <v>83.953224</v>
      </c>
      <c r="F1037" s="229"/>
      <c r="G1037" s="229"/>
      <c r="H1037" s="229"/>
      <c r="I1037" s="229"/>
      <c r="J1037" s="229"/>
      <c r="K1037" s="229"/>
      <c r="L1037" s="229"/>
      <c r="M1037" s="229"/>
      <c r="N1037" s="232"/>
    </row>
    <row r="1038" hidden="1" spans="1:14">
      <c r="A1038" s="235"/>
      <c r="B1038" s="230" t="s">
        <v>1035</v>
      </c>
      <c r="C1038" s="229">
        <v>0.3</v>
      </c>
      <c r="D1038" s="229">
        <v>0.3</v>
      </c>
      <c r="E1038" s="229">
        <v>0.3</v>
      </c>
      <c r="F1038" s="229"/>
      <c r="G1038" s="229"/>
      <c r="H1038" s="229"/>
      <c r="I1038" s="229"/>
      <c r="J1038" s="229"/>
      <c r="K1038" s="229"/>
      <c r="L1038" s="229"/>
      <c r="M1038" s="229"/>
      <c r="N1038" s="232"/>
    </row>
    <row r="1039" hidden="1" spans="1:14">
      <c r="A1039" s="235"/>
      <c r="B1039" s="230" t="s">
        <v>1029</v>
      </c>
      <c r="C1039" s="229">
        <v>70.76</v>
      </c>
      <c r="D1039" s="229">
        <v>70.76</v>
      </c>
      <c r="E1039" s="229">
        <v>70.76</v>
      </c>
      <c r="F1039" s="229"/>
      <c r="G1039" s="229"/>
      <c r="H1039" s="229"/>
      <c r="I1039" s="229"/>
      <c r="J1039" s="229"/>
      <c r="K1039" s="229"/>
      <c r="L1039" s="229"/>
      <c r="M1039" s="229"/>
      <c r="N1039" s="232"/>
    </row>
    <row r="1040" hidden="1" spans="1:14">
      <c r="A1040" s="235"/>
      <c r="B1040" s="230" t="s">
        <v>1037</v>
      </c>
      <c r="C1040" s="229">
        <v>0.23865</v>
      </c>
      <c r="D1040" s="229">
        <v>0.23865</v>
      </c>
      <c r="E1040" s="229">
        <v>0.23865</v>
      </c>
      <c r="F1040" s="229"/>
      <c r="G1040" s="229"/>
      <c r="H1040" s="229"/>
      <c r="I1040" s="229"/>
      <c r="J1040" s="229"/>
      <c r="K1040" s="229"/>
      <c r="L1040" s="229"/>
      <c r="M1040" s="229"/>
      <c r="N1040" s="232"/>
    </row>
    <row r="1041" spans="1:14">
      <c r="A1041" s="227">
        <v>306001</v>
      </c>
      <c r="B1041" s="231" t="s">
        <v>716</v>
      </c>
      <c r="C1041" s="229">
        <v>497.754293</v>
      </c>
      <c r="D1041" s="229">
        <v>497.754293</v>
      </c>
      <c r="E1041" s="229">
        <v>497.754293</v>
      </c>
      <c r="F1041" s="229"/>
      <c r="G1041" s="229"/>
      <c r="H1041" s="229"/>
      <c r="I1041" s="229"/>
      <c r="J1041" s="229"/>
      <c r="K1041" s="229"/>
      <c r="L1041" s="229"/>
      <c r="M1041" s="229"/>
      <c r="N1041" s="233" t="s">
        <v>578</v>
      </c>
    </row>
    <row r="1042" hidden="1" spans="1:14">
      <c r="A1042" s="235"/>
      <c r="B1042" s="230" t="s">
        <v>1035</v>
      </c>
      <c r="C1042" s="229">
        <v>0.1</v>
      </c>
      <c r="D1042" s="229">
        <v>0.1</v>
      </c>
      <c r="E1042" s="229">
        <v>0.1</v>
      </c>
      <c r="F1042" s="229"/>
      <c r="G1042" s="229"/>
      <c r="H1042" s="229"/>
      <c r="I1042" s="229"/>
      <c r="J1042" s="229"/>
      <c r="K1042" s="229"/>
      <c r="L1042" s="229"/>
      <c r="M1042" s="229"/>
      <c r="N1042" s="232"/>
    </row>
    <row r="1043" hidden="1" spans="1:14">
      <c r="A1043" s="235"/>
      <c r="B1043" s="230" t="s">
        <v>1033</v>
      </c>
      <c r="C1043" s="229">
        <v>86.541007</v>
      </c>
      <c r="D1043" s="229">
        <v>86.541007</v>
      </c>
      <c r="E1043" s="229">
        <v>86.541007</v>
      </c>
      <c r="F1043" s="229"/>
      <c r="G1043" s="229"/>
      <c r="H1043" s="229"/>
      <c r="I1043" s="229"/>
      <c r="J1043" s="229"/>
      <c r="K1043" s="229"/>
      <c r="L1043" s="229"/>
      <c r="M1043" s="229"/>
      <c r="N1043" s="232"/>
    </row>
    <row r="1044" hidden="1" spans="1:14">
      <c r="A1044" s="235"/>
      <c r="B1044" s="230" t="s">
        <v>1027</v>
      </c>
      <c r="C1044" s="229">
        <v>6</v>
      </c>
      <c r="D1044" s="229">
        <v>6</v>
      </c>
      <c r="E1044" s="229">
        <v>6</v>
      </c>
      <c r="F1044" s="229"/>
      <c r="G1044" s="229"/>
      <c r="H1044" s="229"/>
      <c r="I1044" s="229"/>
      <c r="J1044" s="229"/>
      <c r="K1044" s="229"/>
      <c r="L1044" s="229"/>
      <c r="M1044" s="229"/>
      <c r="N1044" s="232"/>
    </row>
    <row r="1045" hidden="1" spans="1:14">
      <c r="A1045" s="235"/>
      <c r="B1045" s="230" t="s">
        <v>1037</v>
      </c>
      <c r="C1045" s="229">
        <v>0.0735</v>
      </c>
      <c r="D1045" s="229">
        <v>0.0735</v>
      </c>
      <c r="E1045" s="229">
        <v>0.0735</v>
      </c>
      <c r="F1045" s="229"/>
      <c r="G1045" s="229"/>
      <c r="H1045" s="229"/>
      <c r="I1045" s="229"/>
      <c r="J1045" s="229"/>
      <c r="K1045" s="229"/>
      <c r="L1045" s="229"/>
      <c r="M1045" s="229"/>
      <c r="N1045" s="232"/>
    </row>
    <row r="1046" hidden="1" spans="1:14">
      <c r="A1046" s="235"/>
      <c r="B1046" s="230" t="s">
        <v>1032</v>
      </c>
      <c r="C1046" s="229">
        <v>311.94718</v>
      </c>
      <c r="D1046" s="229">
        <v>311.94718</v>
      </c>
      <c r="E1046" s="229">
        <v>311.94718</v>
      </c>
      <c r="F1046" s="229"/>
      <c r="G1046" s="229"/>
      <c r="H1046" s="229"/>
      <c r="I1046" s="229"/>
      <c r="J1046" s="229"/>
      <c r="K1046" s="229"/>
      <c r="L1046" s="229"/>
      <c r="M1046" s="229"/>
      <c r="N1046" s="232"/>
    </row>
    <row r="1047" hidden="1" spans="1:14">
      <c r="A1047" s="235"/>
      <c r="B1047" s="230" t="s">
        <v>1036</v>
      </c>
      <c r="C1047" s="229">
        <v>37.433662</v>
      </c>
      <c r="D1047" s="229">
        <v>37.433662</v>
      </c>
      <c r="E1047" s="229">
        <v>37.433662</v>
      </c>
      <c r="F1047" s="229"/>
      <c r="G1047" s="229"/>
      <c r="H1047" s="229"/>
      <c r="I1047" s="229"/>
      <c r="J1047" s="229"/>
      <c r="K1047" s="229"/>
      <c r="L1047" s="229"/>
      <c r="M1047" s="229"/>
      <c r="N1047" s="232"/>
    </row>
    <row r="1048" hidden="1" spans="1:14">
      <c r="A1048" s="235"/>
      <c r="B1048" s="230" t="s">
        <v>1031</v>
      </c>
      <c r="C1048" s="229">
        <v>14.76</v>
      </c>
      <c r="D1048" s="229">
        <v>14.76</v>
      </c>
      <c r="E1048" s="229">
        <v>14.76</v>
      </c>
      <c r="F1048" s="229"/>
      <c r="G1048" s="229"/>
      <c r="H1048" s="229"/>
      <c r="I1048" s="229"/>
      <c r="J1048" s="229"/>
      <c r="K1048" s="229"/>
      <c r="L1048" s="229"/>
      <c r="M1048" s="229"/>
      <c r="N1048" s="232"/>
    </row>
    <row r="1049" hidden="1" spans="1:14">
      <c r="A1049" s="235"/>
      <c r="B1049" s="230" t="s">
        <v>1028</v>
      </c>
      <c r="C1049" s="229">
        <v>2.94</v>
      </c>
      <c r="D1049" s="229">
        <v>2.94</v>
      </c>
      <c r="E1049" s="229">
        <v>2.94</v>
      </c>
      <c r="F1049" s="229"/>
      <c r="G1049" s="229"/>
      <c r="H1049" s="229"/>
      <c r="I1049" s="229"/>
      <c r="J1049" s="229"/>
      <c r="K1049" s="229"/>
      <c r="L1049" s="229"/>
      <c r="M1049" s="229"/>
      <c r="N1049" s="232"/>
    </row>
    <row r="1050" hidden="1" spans="1:14">
      <c r="A1050" s="235"/>
      <c r="B1050" s="230" t="s">
        <v>1039</v>
      </c>
      <c r="C1050" s="229">
        <v>6.238944</v>
      </c>
      <c r="D1050" s="229">
        <v>6.238944</v>
      </c>
      <c r="E1050" s="229">
        <v>6.238944</v>
      </c>
      <c r="F1050" s="229"/>
      <c r="G1050" s="229"/>
      <c r="H1050" s="229"/>
      <c r="I1050" s="229"/>
      <c r="J1050" s="229"/>
      <c r="K1050" s="229"/>
      <c r="L1050" s="229"/>
      <c r="M1050" s="229"/>
      <c r="N1050" s="232"/>
    </row>
    <row r="1051" hidden="1" spans="1:14">
      <c r="A1051" s="235"/>
      <c r="B1051" s="230" t="s">
        <v>1029</v>
      </c>
      <c r="C1051" s="229">
        <v>31.72</v>
      </c>
      <c r="D1051" s="229">
        <v>31.72</v>
      </c>
      <c r="E1051" s="229">
        <v>31.72</v>
      </c>
      <c r="F1051" s="229"/>
      <c r="G1051" s="229"/>
      <c r="H1051" s="229"/>
      <c r="I1051" s="229"/>
      <c r="J1051" s="229"/>
      <c r="K1051" s="229"/>
      <c r="L1051" s="229"/>
      <c r="M1051" s="229"/>
      <c r="N1051" s="232"/>
    </row>
    <row r="1052" spans="1:14">
      <c r="A1052" s="227">
        <v>307001</v>
      </c>
      <c r="B1052" s="231" t="s">
        <v>717</v>
      </c>
      <c r="C1052" s="229">
        <v>1513.010927</v>
      </c>
      <c r="D1052" s="229">
        <v>1513.010927</v>
      </c>
      <c r="E1052" s="229">
        <v>1513.010927</v>
      </c>
      <c r="F1052" s="229"/>
      <c r="G1052" s="229"/>
      <c r="H1052" s="229"/>
      <c r="I1052" s="229"/>
      <c r="J1052" s="229"/>
      <c r="K1052" s="229"/>
      <c r="L1052" s="229"/>
      <c r="M1052" s="229"/>
      <c r="N1052" s="233" t="s">
        <v>578</v>
      </c>
    </row>
    <row r="1053" hidden="1" spans="1:14">
      <c r="A1053" s="235"/>
      <c r="B1053" s="230" t="s">
        <v>1034</v>
      </c>
      <c r="C1053" s="229">
        <v>1.014</v>
      </c>
      <c r="D1053" s="229">
        <v>1.014</v>
      </c>
      <c r="E1053" s="229">
        <v>1.014</v>
      </c>
      <c r="F1053" s="229"/>
      <c r="G1053" s="229"/>
      <c r="H1053" s="229"/>
      <c r="I1053" s="229"/>
      <c r="J1053" s="229"/>
      <c r="K1053" s="229"/>
      <c r="L1053" s="229"/>
      <c r="M1053" s="229"/>
      <c r="N1053" s="232"/>
    </row>
    <row r="1054" hidden="1" spans="1:14">
      <c r="A1054" s="235"/>
      <c r="B1054" s="230" t="s">
        <v>1029</v>
      </c>
      <c r="C1054" s="229">
        <v>89.06</v>
      </c>
      <c r="D1054" s="229">
        <v>89.06</v>
      </c>
      <c r="E1054" s="229">
        <v>89.06</v>
      </c>
      <c r="F1054" s="229"/>
      <c r="G1054" s="229"/>
      <c r="H1054" s="229"/>
      <c r="I1054" s="229"/>
      <c r="J1054" s="229"/>
      <c r="K1054" s="229"/>
      <c r="L1054" s="229"/>
      <c r="M1054" s="229"/>
      <c r="N1054" s="232"/>
    </row>
    <row r="1055" hidden="1" spans="1:14">
      <c r="A1055" s="235"/>
      <c r="B1055" s="230" t="s">
        <v>1033</v>
      </c>
      <c r="C1055" s="229">
        <v>253.563438</v>
      </c>
      <c r="D1055" s="229">
        <v>253.563438</v>
      </c>
      <c r="E1055" s="229">
        <v>253.563438</v>
      </c>
      <c r="F1055" s="229"/>
      <c r="G1055" s="229"/>
      <c r="H1055" s="229"/>
      <c r="I1055" s="229"/>
      <c r="J1055" s="229"/>
      <c r="K1055" s="229"/>
      <c r="L1055" s="229"/>
      <c r="M1055" s="229"/>
      <c r="N1055" s="232"/>
    </row>
    <row r="1056" hidden="1" spans="1:14">
      <c r="A1056" s="235"/>
      <c r="B1056" s="230" t="s">
        <v>1039</v>
      </c>
      <c r="C1056" s="229">
        <v>18.549848</v>
      </c>
      <c r="D1056" s="229">
        <v>18.549848</v>
      </c>
      <c r="E1056" s="229">
        <v>18.549848</v>
      </c>
      <c r="F1056" s="229"/>
      <c r="G1056" s="229"/>
      <c r="H1056" s="229"/>
      <c r="I1056" s="229"/>
      <c r="J1056" s="229"/>
      <c r="K1056" s="229"/>
      <c r="L1056" s="229"/>
      <c r="M1056" s="229"/>
      <c r="N1056" s="232"/>
    </row>
    <row r="1057" hidden="1" spans="1:14">
      <c r="A1057" s="235"/>
      <c r="B1057" s="230" t="s">
        <v>1035</v>
      </c>
      <c r="C1057" s="229">
        <v>1.3</v>
      </c>
      <c r="D1057" s="229">
        <v>1.3</v>
      </c>
      <c r="E1057" s="229">
        <v>1.3</v>
      </c>
      <c r="F1057" s="229"/>
      <c r="G1057" s="229"/>
      <c r="H1057" s="229"/>
      <c r="I1057" s="229"/>
      <c r="J1057" s="229"/>
      <c r="K1057" s="229"/>
      <c r="L1057" s="229"/>
      <c r="M1057" s="229"/>
      <c r="N1057" s="232"/>
    </row>
    <row r="1058" hidden="1" spans="1:14">
      <c r="A1058" s="235"/>
      <c r="B1058" s="230" t="s">
        <v>1038</v>
      </c>
      <c r="C1058" s="229">
        <v>0.24</v>
      </c>
      <c r="D1058" s="229">
        <v>0.24</v>
      </c>
      <c r="E1058" s="229">
        <v>0.24</v>
      </c>
      <c r="F1058" s="229"/>
      <c r="G1058" s="229"/>
      <c r="H1058" s="229"/>
      <c r="I1058" s="229"/>
      <c r="J1058" s="229"/>
      <c r="K1058" s="229"/>
      <c r="L1058" s="229"/>
      <c r="M1058" s="229"/>
      <c r="N1058" s="232"/>
    </row>
    <row r="1059" hidden="1" spans="1:14">
      <c r="A1059" s="235"/>
      <c r="B1059" s="230" t="s">
        <v>1027</v>
      </c>
      <c r="C1059" s="229">
        <v>6</v>
      </c>
      <c r="D1059" s="229">
        <v>6</v>
      </c>
      <c r="E1059" s="229">
        <v>6</v>
      </c>
      <c r="F1059" s="229"/>
      <c r="G1059" s="229"/>
      <c r="H1059" s="229"/>
      <c r="I1059" s="229"/>
      <c r="J1059" s="229"/>
      <c r="K1059" s="229"/>
      <c r="L1059" s="229"/>
      <c r="M1059" s="229"/>
      <c r="N1059" s="232"/>
    </row>
    <row r="1060" hidden="1" spans="1:14">
      <c r="A1060" s="235"/>
      <c r="B1060" s="230" t="s">
        <v>1028</v>
      </c>
      <c r="C1060" s="229">
        <v>38.1192</v>
      </c>
      <c r="D1060" s="229">
        <v>38.1192</v>
      </c>
      <c r="E1060" s="229">
        <v>38.1192</v>
      </c>
      <c r="F1060" s="229"/>
      <c r="G1060" s="229"/>
      <c r="H1060" s="229"/>
      <c r="I1060" s="229"/>
      <c r="J1060" s="229"/>
      <c r="K1060" s="229"/>
      <c r="L1060" s="229"/>
      <c r="M1060" s="229"/>
      <c r="N1060" s="232"/>
    </row>
    <row r="1061" hidden="1" spans="1:14">
      <c r="A1061" s="235"/>
      <c r="B1061" s="230" t="s">
        <v>1031</v>
      </c>
      <c r="C1061" s="229">
        <v>21.42</v>
      </c>
      <c r="D1061" s="229">
        <v>21.42</v>
      </c>
      <c r="E1061" s="229">
        <v>21.42</v>
      </c>
      <c r="F1061" s="229"/>
      <c r="G1061" s="229"/>
      <c r="H1061" s="229"/>
      <c r="I1061" s="229"/>
      <c r="J1061" s="229"/>
      <c r="K1061" s="229"/>
      <c r="L1061" s="229"/>
      <c r="M1061" s="229"/>
      <c r="N1061" s="232"/>
    </row>
    <row r="1062" hidden="1" spans="1:14">
      <c r="A1062" s="235"/>
      <c r="B1062" s="230" t="s">
        <v>1036</v>
      </c>
      <c r="C1062" s="229">
        <v>111.299085</v>
      </c>
      <c r="D1062" s="229">
        <v>111.299085</v>
      </c>
      <c r="E1062" s="229">
        <v>111.299085</v>
      </c>
      <c r="F1062" s="229"/>
      <c r="G1062" s="229"/>
      <c r="H1062" s="229"/>
      <c r="I1062" s="229"/>
      <c r="J1062" s="229"/>
      <c r="K1062" s="229"/>
      <c r="L1062" s="229"/>
      <c r="M1062" s="229"/>
      <c r="N1062" s="232"/>
    </row>
    <row r="1063" hidden="1" spans="1:14">
      <c r="A1063" s="235"/>
      <c r="B1063" s="230" t="s">
        <v>1032</v>
      </c>
      <c r="C1063" s="229">
        <v>927.492376</v>
      </c>
      <c r="D1063" s="229">
        <v>927.492376</v>
      </c>
      <c r="E1063" s="229">
        <v>927.492376</v>
      </c>
      <c r="F1063" s="229"/>
      <c r="G1063" s="229"/>
      <c r="H1063" s="229"/>
      <c r="I1063" s="229"/>
      <c r="J1063" s="229"/>
      <c r="K1063" s="229"/>
      <c r="L1063" s="229"/>
      <c r="M1063" s="229"/>
      <c r="N1063" s="232"/>
    </row>
    <row r="1064" hidden="1" spans="1:14">
      <c r="A1064" s="235"/>
      <c r="B1064" s="230" t="s">
        <v>1030</v>
      </c>
      <c r="C1064" s="229">
        <v>44</v>
      </c>
      <c r="D1064" s="229">
        <v>44</v>
      </c>
      <c r="E1064" s="229">
        <v>44</v>
      </c>
      <c r="F1064" s="229"/>
      <c r="G1064" s="229"/>
      <c r="H1064" s="229"/>
      <c r="I1064" s="229"/>
      <c r="J1064" s="229"/>
      <c r="K1064" s="229"/>
      <c r="L1064" s="229"/>
      <c r="M1064" s="229"/>
      <c r="N1064" s="232"/>
    </row>
    <row r="1065" hidden="1" spans="1:14">
      <c r="A1065" s="235"/>
      <c r="B1065" s="230" t="s">
        <v>1037</v>
      </c>
      <c r="C1065" s="229">
        <v>0.95298</v>
      </c>
      <c r="D1065" s="229">
        <v>0.95298</v>
      </c>
      <c r="E1065" s="229">
        <v>0.95298</v>
      </c>
      <c r="F1065" s="229"/>
      <c r="G1065" s="229"/>
      <c r="H1065" s="229"/>
      <c r="I1065" s="229"/>
      <c r="J1065" s="229"/>
      <c r="K1065" s="229"/>
      <c r="L1065" s="229"/>
      <c r="M1065" s="229"/>
      <c r="N1065" s="232"/>
    </row>
    <row r="1066" spans="1:14">
      <c r="A1066" s="225"/>
      <c r="B1066" s="226" t="s">
        <v>718</v>
      </c>
      <c r="C1066" s="205">
        <f>C1067+C1082</f>
        <v>10300.590681</v>
      </c>
      <c r="D1066" s="205">
        <f>D1067+D1082</f>
        <v>10300.590681</v>
      </c>
      <c r="E1066" s="205">
        <f>E1067+E1082</f>
        <v>10300.590681</v>
      </c>
      <c r="F1066" s="205"/>
      <c r="G1066" s="229"/>
      <c r="H1066" s="229"/>
      <c r="I1066" s="229"/>
      <c r="J1066" s="229"/>
      <c r="K1066" s="229"/>
      <c r="L1066" s="229"/>
      <c r="M1066" s="229"/>
      <c r="N1066" s="232" t="s">
        <v>578</v>
      </c>
    </row>
    <row r="1067" spans="1:14">
      <c r="A1067" s="227">
        <v>402001</v>
      </c>
      <c r="B1067" s="231" t="s">
        <v>1086</v>
      </c>
      <c r="C1067" s="229">
        <v>10099.14997</v>
      </c>
      <c r="D1067" s="229">
        <v>10099.14997</v>
      </c>
      <c r="E1067" s="229">
        <v>10099.14997</v>
      </c>
      <c r="F1067" s="229"/>
      <c r="G1067" s="229"/>
      <c r="H1067" s="229"/>
      <c r="I1067" s="229"/>
      <c r="J1067" s="229"/>
      <c r="K1067" s="229"/>
      <c r="L1067" s="229"/>
      <c r="M1067" s="229"/>
      <c r="N1067" s="233" t="s">
        <v>578</v>
      </c>
    </row>
    <row r="1068" hidden="1" spans="1:14">
      <c r="A1068" s="235"/>
      <c r="B1068" s="230" t="s">
        <v>1027</v>
      </c>
      <c r="C1068" s="229">
        <v>80</v>
      </c>
      <c r="D1068" s="229">
        <v>80</v>
      </c>
      <c r="E1068" s="229">
        <v>80</v>
      </c>
      <c r="F1068" s="229"/>
      <c r="G1068" s="229"/>
      <c r="H1068" s="229"/>
      <c r="I1068" s="229"/>
      <c r="J1068" s="229"/>
      <c r="K1068" s="229"/>
      <c r="L1068" s="229"/>
      <c r="M1068" s="229"/>
      <c r="N1068" s="232"/>
    </row>
    <row r="1069" hidden="1" spans="1:14">
      <c r="A1069" s="235"/>
      <c r="B1069" s="230" t="s">
        <v>1032</v>
      </c>
      <c r="C1069" s="229">
        <v>5891.47514</v>
      </c>
      <c r="D1069" s="229">
        <v>5891.47514</v>
      </c>
      <c r="E1069" s="229">
        <v>5891.47514</v>
      </c>
      <c r="F1069" s="229"/>
      <c r="G1069" s="229"/>
      <c r="H1069" s="229"/>
      <c r="I1069" s="229"/>
      <c r="J1069" s="229"/>
      <c r="K1069" s="229"/>
      <c r="L1069" s="229"/>
      <c r="M1069" s="229"/>
      <c r="N1069" s="232"/>
    </row>
    <row r="1070" hidden="1" spans="1:14">
      <c r="A1070" s="235"/>
      <c r="B1070" s="230" t="s">
        <v>1035</v>
      </c>
      <c r="C1070" s="229">
        <v>16.96</v>
      </c>
      <c r="D1070" s="229">
        <v>16.96</v>
      </c>
      <c r="E1070" s="229">
        <v>16.96</v>
      </c>
      <c r="F1070" s="229"/>
      <c r="G1070" s="229"/>
      <c r="H1070" s="229"/>
      <c r="I1070" s="229"/>
      <c r="J1070" s="229"/>
      <c r="K1070" s="229"/>
      <c r="L1070" s="229"/>
      <c r="M1070" s="229"/>
      <c r="N1070" s="232"/>
    </row>
    <row r="1071" hidden="1" spans="1:14">
      <c r="A1071" s="235"/>
      <c r="B1071" s="230" t="s">
        <v>1064</v>
      </c>
      <c r="C1071" s="229">
        <v>435.06</v>
      </c>
      <c r="D1071" s="229">
        <v>435.06</v>
      </c>
      <c r="E1071" s="229">
        <v>435.06</v>
      </c>
      <c r="F1071" s="229"/>
      <c r="G1071" s="229"/>
      <c r="H1071" s="229"/>
      <c r="I1071" s="229"/>
      <c r="J1071" s="229"/>
      <c r="K1071" s="229"/>
      <c r="L1071" s="229"/>
      <c r="M1071" s="229"/>
      <c r="N1071" s="232"/>
    </row>
    <row r="1072" hidden="1" spans="1:14">
      <c r="A1072" s="235"/>
      <c r="B1072" s="230" t="s">
        <v>1037</v>
      </c>
      <c r="C1072" s="229">
        <v>16.10982</v>
      </c>
      <c r="D1072" s="229">
        <v>16.10982</v>
      </c>
      <c r="E1072" s="229">
        <v>16.10982</v>
      </c>
      <c r="F1072" s="229"/>
      <c r="G1072" s="229"/>
      <c r="H1072" s="229"/>
      <c r="I1072" s="229"/>
      <c r="J1072" s="229"/>
      <c r="K1072" s="229"/>
      <c r="L1072" s="229"/>
      <c r="M1072" s="229"/>
      <c r="N1072" s="232"/>
    </row>
    <row r="1073" hidden="1" spans="1:14">
      <c r="A1073" s="235"/>
      <c r="B1073" s="230" t="s">
        <v>1036</v>
      </c>
      <c r="C1073" s="229">
        <v>706.977017</v>
      </c>
      <c r="D1073" s="229">
        <v>706.977017</v>
      </c>
      <c r="E1073" s="229">
        <v>706.977017</v>
      </c>
      <c r="F1073" s="229"/>
      <c r="G1073" s="229"/>
      <c r="H1073" s="229"/>
      <c r="I1073" s="229"/>
      <c r="J1073" s="229"/>
      <c r="K1073" s="229"/>
      <c r="L1073" s="229"/>
      <c r="M1073" s="229"/>
      <c r="N1073" s="232"/>
    </row>
    <row r="1074" hidden="1" spans="1:14">
      <c r="A1074" s="235"/>
      <c r="B1074" s="230" t="s">
        <v>1028</v>
      </c>
      <c r="C1074" s="229">
        <v>505.6728</v>
      </c>
      <c r="D1074" s="229">
        <v>505.6728</v>
      </c>
      <c r="E1074" s="229">
        <v>505.6728</v>
      </c>
      <c r="F1074" s="229"/>
      <c r="G1074" s="229"/>
      <c r="H1074" s="229"/>
      <c r="I1074" s="229"/>
      <c r="J1074" s="229"/>
      <c r="K1074" s="229"/>
      <c r="L1074" s="229"/>
      <c r="M1074" s="229"/>
      <c r="N1074" s="232"/>
    </row>
    <row r="1075" hidden="1" spans="1:14">
      <c r="A1075" s="235"/>
      <c r="B1075" s="230" t="s">
        <v>1031</v>
      </c>
      <c r="C1075" s="229">
        <v>43.176</v>
      </c>
      <c r="D1075" s="229">
        <v>43.176</v>
      </c>
      <c r="E1075" s="229">
        <v>43.176</v>
      </c>
      <c r="F1075" s="229"/>
      <c r="G1075" s="229"/>
      <c r="H1075" s="229"/>
      <c r="I1075" s="229"/>
      <c r="J1075" s="229"/>
      <c r="K1075" s="229"/>
      <c r="L1075" s="229"/>
      <c r="M1075" s="229"/>
      <c r="N1075" s="232"/>
    </row>
    <row r="1076" hidden="1" spans="1:14">
      <c r="A1076" s="235"/>
      <c r="B1076" s="230" t="s">
        <v>1038</v>
      </c>
      <c r="C1076" s="229">
        <v>3.14</v>
      </c>
      <c r="D1076" s="229">
        <v>3.14</v>
      </c>
      <c r="E1076" s="229">
        <v>3.14</v>
      </c>
      <c r="F1076" s="229"/>
      <c r="G1076" s="229"/>
      <c r="H1076" s="229"/>
      <c r="I1076" s="229"/>
      <c r="J1076" s="229"/>
      <c r="K1076" s="229"/>
      <c r="L1076" s="229"/>
      <c r="M1076" s="229"/>
      <c r="N1076" s="232"/>
    </row>
    <row r="1077" hidden="1" spans="1:14">
      <c r="A1077" s="235"/>
      <c r="B1077" s="230" t="s">
        <v>1034</v>
      </c>
      <c r="C1077" s="229">
        <v>19.266</v>
      </c>
      <c r="D1077" s="229">
        <v>19.266</v>
      </c>
      <c r="E1077" s="229">
        <v>19.266</v>
      </c>
      <c r="F1077" s="229"/>
      <c r="G1077" s="229"/>
      <c r="H1077" s="229"/>
      <c r="I1077" s="229"/>
      <c r="J1077" s="229"/>
      <c r="K1077" s="229"/>
      <c r="L1077" s="229"/>
      <c r="M1077" s="229"/>
      <c r="N1077" s="232"/>
    </row>
    <row r="1078" hidden="1" spans="1:14">
      <c r="A1078" s="235"/>
      <c r="B1078" s="230" t="s">
        <v>1039</v>
      </c>
      <c r="C1078" s="229">
        <v>117.829503</v>
      </c>
      <c r="D1078" s="229">
        <v>117.829503</v>
      </c>
      <c r="E1078" s="229">
        <v>117.829503</v>
      </c>
      <c r="F1078" s="229"/>
      <c r="G1078" s="229"/>
      <c r="H1078" s="229"/>
      <c r="I1078" s="229"/>
      <c r="J1078" s="229"/>
      <c r="K1078" s="229"/>
      <c r="L1078" s="229"/>
      <c r="M1078" s="229"/>
      <c r="N1078" s="232"/>
    </row>
    <row r="1079" hidden="1" spans="1:14">
      <c r="A1079" s="235"/>
      <c r="B1079" s="230" t="s">
        <v>1030</v>
      </c>
      <c r="C1079" s="229">
        <v>4</v>
      </c>
      <c r="D1079" s="229">
        <v>4</v>
      </c>
      <c r="E1079" s="229">
        <v>4</v>
      </c>
      <c r="F1079" s="229"/>
      <c r="G1079" s="229"/>
      <c r="H1079" s="229"/>
      <c r="I1079" s="229"/>
      <c r="J1079" s="229"/>
      <c r="K1079" s="229"/>
      <c r="L1079" s="229"/>
      <c r="M1079" s="229"/>
      <c r="N1079" s="232"/>
    </row>
    <row r="1080" hidden="1" spans="1:14">
      <c r="A1080" s="235"/>
      <c r="B1080" s="230" t="s">
        <v>1033</v>
      </c>
      <c r="C1080" s="229">
        <v>1688.03569</v>
      </c>
      <c r="D1080" s="229">
        <v>1688.03569</v>
      </c>
      <c r="E1080" s="229">
        <v>1688.03569</v>
      </c>
      <c r="F1080" s="229"/>
      <c r="G1080" s="229"/>
      <c r="H1080" s="229"/>
      <c r="I1080" s="229"/>
      <c r="J1080" s="229"/>
      <c r="K1080" s="229"/>
      <c r="L1080" s="229"/>
      <c r="M1080" s="229"/>
      <c r="N1080" s="232"/>
    </row>
    <row r="1081" hidden="1" spans="1:14">
      <c r="A1081" s="235"/>
      <c r="B1081" s="230" t="s">
        <v>1029</v>
      </c>
      <c r="C1081" s="229">
        <v>571.448</v>
      </c>
      <c r="D1081" s="229">
        <v>571.448</v>
      </c>
      <c r="E1081" s="229">
        <v>571.448</v>
      </c>
      <c r="F1081" s="229"/>
      <c r="G1081" s="229"/>
      <c r="H1081" s="229"/>
      <c r="I1081" s="229"/>
      <c r="J1081" s="229"/>
      <c r="K1081" s="229"/>
      <c r="L1081" s="229"/>
      <c r="M1081" s="229"/>
      <c r="N1081" s="232"/>
    </row>
    <row r="1082" spans="1:14">
      <c r="A1082" s="227">
        <v>403001</v>
      </c>
      <c r="B1082" s="230" t="s">
        <v>726</v>
      </c>
      <c r="C1082" s="229">
        <v>201.440711</v>
      </c>
      <c r="D1082" s="229">
        <v>201.440711</v>
      </c>
      <c r="E1082" s="229">
        <v>201.440711</v>
      </c>
      <c r="F1082" s="229"/>
      <c r="G1082" s="229"/>
      <c r="H1082" s="229"/>
      <c r="I1082" s="229"/>
      <c r="J1082" s="229"/>
      <c r="K1082" s="229"/>
      <c r="L1082" s="229"/>
      <c r="M1082" s="229"/>
      <c r="N1082" s="233" t="s">
        <v>578</v>
      </c>
    </row>
    <row r="1083" hidden="1" spans="1:14">
      <c r="A1083" s="235"/>
      <c r="B1083" s="230" t="s">
        <v>1039</v>
      </c>
      <c r="C1083" s="229">
        <v>2.653556</v>
      </c>
      <c r="D1083" s="229">
        <v>2.653556</v>
      </c>
      <c r="E1083" s="229">
        <v>2.653556</v>
      </c>
      <c r="F1083" s="229"/>
      <c r="G1083" s="229"/>
      <c r="H1083" s="229"/>
      <c r="I1083" s="229"/>
      <c r="J1083" s="229"/>
      <c r="K1083" s="229"/>
      <c r="L1083" s="229"/>
      <c r="M1083" s="229"/>
      <c r="N1083" s="232"/>
    </row>
    <row r="1084" hidden="1" spans="1:14">
      <c r="A1084" s="235"/>
      <c r="B1084" s="230" t="s">
        <v>1036</v>
      </c>
      <c r="C1084" s="229">
        <v>15.921336</v>
      </c>
      <c r="D1084" s="229">
        <v>15.921336</v>
      </c>
      <c r="E1084" s="229">
        <v>15.921336</v>
      </c>
      <c r="F1084" s="229"/>
      <c r="G1084" s="229"/>
      <c r="H1084" s="229"/>
      <c r="I1084" s="229"/>
      <c r="J1084" s="229"/>
      <c r="K1084" s="229"/>
      <c r="L1084" s="229"/>
      <c r="M1084" s="229"/>
      <c r="N1084" s="232"/>
    </row>
    <row r="1085" hidden="1" spans="1:14">
      <c r="A1085" s="235"/>
      <c r="B1085" s="230" t="s">
        <v>1033</v>
      </c>
      <c r="C1085" s="229">
        <v>35.448019</v>
      </c>
      <c r="D1085" s="229">
        <v>35.448019</v>
      </c>
      <c r="E1085" s="229">
        <v>35.448019</v>
      </c>
      <c r="F1085" s="229"/>
      <c r="G1085" s="229"/>
      <c r="H1085" s="229"/>
      <c r="I1085" s="229"/>
      <c r="J1085" s="229"/>
      <c r="K1085" s="229"/>
      <c r="L1085" s="229"/>
      <c r="M1085" s="229"/>
      <c r="N1085" s="232"/>
    </row>
    <row r="1086" hidden="1" spans="1:14">
      <c r="A1086" s="235"/>
      <c r="B1086" s="230" t="s">
        <v>1031</v>
      </c>
      <c r="C1086" s="229">
        <v>1.32</v>
      </c>
      <c r="D1086" s="229">
        <v>1.32</v>
      </c>
      <c r="E1086" s="229">
        <v>1.32</v>
      </c>
      <c r="F1086" s="229"/>
      <c r="G1086" s="229"/>
      <c r="H1086" s="229"/>
      <c r="I1086" s="229"/>
      <c r="J1086" s="229"/>
      <c r="K1086" s="229"/>
      <c r="L1086" s="229"/>
      <c r="M1086" s="229"/>
      <c r="N1086" s="232"/>
    </row>
    <row r="1087" hidden="1" spans="1:14">
      <c r="A1087" s="235"/>
      <c r="B1087" s="230" t="s">
        <v>1029</v>
      </c>
      <c r="C1087" s="229">
        <v>13.42</v>
      </c>
      <c r="D1087" s="229">
        <v>13.42</v>
      </c>
      <c r="E1087" s="229">
        <v>13.42</v>
      </c>
      <c r="F1087" s="229"/>
      <c r="G1087" s="229"/>
      <c r="H1087" s="229"/>
      <c r="I1087" s="229"/>
      <c r="J1087" s="229"/>
      <c r="K1087" s="229"/>
      <c r="L1087" s="229"/>
      <c r="M1087" s="229"/>
      <c r="N1087" s="232"/>
    </row>
    <row r="1088" hidden="1" spans="1:14">
      <c r="A1088" s="235"/>
      <c r="B1088" s="230" t="s">
        <v>1032</v>
      </c>
      <c r="C1088" s="229">
        <v>132.6778</v>
      </c>
      <c r="D1088" s="229">
        <v>132.6778</v>
      </c>
      <c r="E1088" s="229">
        <v>132.6778</v>
      </c>
      <c r="F1088" s="229"/>
      <c r="G1088" s="229"/>
      <c r="H1088" s="229"/>
      <c r="I1088" s="229"/>
      <c r="J1088" s="229"/>
      <c r="K1088" s="229"/>
      <c r="L1088" s="229"/>
      <c r="M1088" s="229"/>
      <c r="N1088" s="232"/>
    </row>
    <row r="1089" spans="1:14">
      <c r="A1089" s="225"/>
      <c r="B1089" s="226" t="s">
        <v>727</v>
      </c>
      <c r="C1089" s="205">
        <v>4083.496939</v>
      </c>
      <c r="D1089" s="205">
        <v>4083.496939</v>
      </c>
      <c r="E1089" s="205">
        <v>3539.494169</v>
      </c>
      <c r="F1089" s="205">
        <v>544.00277</v>
      </c>
      <c r="G1089" s="229"/>
      <c r="H1089" s="229"/>
      <c r="I1089" s="229"/>
      <c r="J1089" s="229"/>
      <c r="K1089" s="229"/>
      <c r="L1089" s="229"/>
      <c r="M1089" s="229"/>
      <c r="N1089" s="232" t="s">
        <v>578</v>
      </c>
    </row>
    <row r="1090" spans="1:14">
      <c r="A1090" s="227">
        <v>501001</v>
      </c>
      <c r="B1090" s="231" t="s">
        <v>728</v>
      </c>
      <c r="C1090" s="229">
        <v>467.220461</v>
      </c>
      <c r="D1090" s="229">
        <v>467.220461</v>
      </c>
      <c r="E1090" s="229">
        <v>467.220461</v>
      </c>
      <c r="F1090" s="229"/>
      <c r="G1090" s="229"/>
      <c r="H1090" s="229"/>
      <c r="I1090" s="229"/>
      <c r="J1090" s="229"/>
      <c r="K1090" s="229"/>
      <c r="L1090" s="229"/>
      <c r="M1090" s="229"/>
      <c r="N1090" s="233" t="s">
        <v>578</v>
      </c>
    </row>
    <row r="1091" hidden="1" spans="1:14">
      <c r="A1091" s="235"/>
      <c r="B1091" s="230" t="s">
        <v>1028</v>
      </c>
      <c r="C1091" s="229">
        <v>37.5228</v>
      </c>
      <c r="D1091" s="229">
        <v>37.5228</v>
      </c>
      <c r="E1091" s="229">
        <v>37.5228</v>
      </c>
      <c r="F1091" s="229"/>
      <c r="G1091" s="229"/>
      <c r="H1091" s="229"/>
      <c r="I1091" s="229"/>
      <c r="J1091" s="229"/>
      <c r="K1091" s="229"/>
      <c r="L1091" s="229"/>
      <c r="M1091" s="229"/>
      <c r="N1091" s="232"/>
    </row>
    <row r="1092" hidden="1" spans="1:14">
      <c r="A1092" s="235"/>
      <c r="B1092" s="230" t="s">
        <v>1035</v>
      </c>
      <c r="C1092" s="229">
        <v>1.2</v>
      </c>
      <c r="D1092" s="229">
        <v>1.2</v>
      </c>
      <c r="E1092" s="229">
        <v>1.2</v>
      </c>
      <c r="F1092" s="229"/>
      <c r="G1092" s="229"/>
      <c r="H1092" s="229"/>
      <c r="I1092" s="229"/>
      <c r="J1092" s="229"/>
      <c r="K1092" s="229"/>
      <c r="L1092" s="229"/>
      <c r="M1092" s="229"/>
      <c r="N1092" s="232"/>
    </row>
    <row r="1093" hidden="1" spans="1:14">
      <c r="A1093" s="235"/>
      <c r="B1093" s="230" t="s">
        <v>1029</v>
      </c>
      <c r="C1093" s="229">
        <v>24.888</v>
      </c>
      <c r="D1093" s="229">
        <v>24.888</v>
      </c>
      <c r="E1093" s="229">
        <v>24.888</v>
      </c>
      <c r="F1093" s="229"/>
      <c r="G1093" s="229"/>
      <c r="H1093" s="229"/>
      <c r="I1093" s="229"/>
      <c r="J1093" s="229"/>
      <c r="K1093" s="229"/>
      <c r="L1093" s="229"/>
      <c r="M1093" s="229"/>
      <c r="N1093" s="232"/>
    </row>
    <row r="1094" hidden="1" spans="1:14">
      <c r="A1094" s="235"/>
      <c r="B1094" s="230" t="s">
        <v>1032</v>
      </c>
      <c r="C1094" s="229">
        <v>268.1602</v>
      </c>
      <c r="D1094" s="229">
        <v>268.1602</v>
      </c>
      <c r="E1094" s="229">
        <v>268.1602</v>
      </c>
      <c r="F1094" s="229"/>
      <c r="G1094" s="229"/>
      <c r="H1094" s="229"/>
      <c r="I1094" s="229"/>
      <c r="J1094" s="229"/>
      <c r="K1094" s="229"/>
      <c r="L1094" s="229"/>
      <c r="M1094" s="229"/>
      <c r="N1094" s="232"/>
    </row>
    <row r="1095" hidden="1" spans="1:14">
      <c r="A1095" s="235"/>
      <c r="B1095" s="230" t="s">
        <v>1034</v>
      </c>
      <c r="C1095" s="229">
        <v>1.014</v>
      </c>
      <c r="D1095" s="229">
        <v>1.014</v>
      </c>
      <c r="E1095" s="229">
        <v>1.014</v>
      </c>
      <c r="F1095" s="229"/>
      <c r="G1095" s="229"/>
      <c r="H1095" s="229"/>
      <c r="I1095" s="229"/>
      <c r="J1095" s="229"/>
      <c r="K1095" s="229"/>
      <c r="L1095" s="229"/>
      <c r="M1095" s="229"/>
      <c r="N1095" s="232"/>
    </row>
    <row r="1096" hidden="1" spans="1:14">
      <c r="A1096" s="235"/>
      <c r="B1096" s="230" t="s">
        <v>1036</v>
      </c>
      <c r="C1096" s="229">
        <v>32.179224</v>
      </c>
      <c r="D1096" s="229">
        <v>32.179224</v>
      </c>
      <c r="E1096" s="229">
        <v>32.179224</v>
      </c>
      <c r="F1096" s="229"/>
      <c r="G1096" s="229"/>
      <c r="H1096" s="229"/>
      <c r="I1096" s="229"/>
      <c r="J1096" s="229"/>
      <c r="K1096" s="229"/>
      <c r="L1096" s="229"/>
      <c r="M1096" s="229"/>
      <c r="N1096" s="232"/>
    </row>
    <row r="1097" hidden="1" spans="1:14">
      <c r="A1097" s="235"/>
      <c r="B1097" s="230" t="s">
        <v>1031</v>
      </c>
      <c r="C1097" s="229">
        <v>10.908</v>
      </c>
      <c r="D1097" s="229">
        <v>10.908</v>
      </c>
      <c r="E1097" s="229">
        <v>10.908</v>
      </c>
      <c r="F1097" s="229"/>
      <c r="G1097" s="229"/>
      <c r="H1097" s="229"/>
      <c r="I1097" s="229"/>
      <c r="J1097" s="229"/>
      <c r="K1097" s="229"/>
      <c r="L1097" s="229"/>
      <c r="M1097" s="229"/>
      <c r="N1097" s="232"/>
    </row>
    <row r="1098" hidden="1" spans="1:14">
      <c r="A1098" s="235"/>
      <c r="B1098" s="230" t="s">
        <v>1037</v>
      </c>
      <c r="C1098" s="229">
        <v>0.93807</v>
      </c>
      <c r="D1098" s="229">
        <v>0.93807</v>
      </c>
      <c r="E1098" s="229">
        <v>0.93807</v>
      </c>
      <c r="F1098" s="229"/>
      <c r="G1098" s="229"/>
      <c r="H1098" s="229"/>
      <c r="I1098" s="229"/>
      <c r="J1098" s="229"/>
      <c r="K1098" s="229"/>
      <c r="L1098" s="229"/>
      <c r="M1098" s="229"/>
      <c r="N1098" s="232"/>
    </row>
    <row r="1099" hidden="1" spans="1:14">
      <c r="A1099" s="235"/>
      <c r="B1099" s="230" t="s">
        <v>1039</v>
      </c>
      <c r="C1099" s="229">
        <v>5.363204</v>
      </c>
      <c r="D1099" s="229">
        <v>5.363204</v>
      </c>
      <c r="E1099" s="229">
        <v>5.363204</v>
      </c>
      <c r="F1099" s="229"/>
      <c r="G1099" s="229"/>
      <c r="H1099" s="229"/>
      <c r="I1099" s="229"/>
      <c r="J1099" s="229"/>
      <c r="K1099" s="229"/>
      <c r="L1099" s="229"/>
      <c r="M1099" s="229"/>
      <c r="N1099" s="232"/>
    </row>
    <row r="1100" hidden="1" spans="1:14">
      <c r="A1100" s="235"/>
      <c r="B1100" s="230" t="s">
        <v>1038</v>
      </c>
      <c r="C1100" s="229">
        <v>0.36</v>
      </c>
      <c r="D1100" s="229">
        <v>0.36</v>
      </c>
      <c r="E1100" s="229">
        <v>0.36</v>
      </c>
      <c r="F1100" s="229"/>
      <c r="G1100" s="229"/>
      <c r="H1100" s="229"/>
      <c r="I1100" s="229"/>
      <c r="J1100" s="229"/>
      <c r="K1100" s="229"/>
      <c r="L1100" s="229"/>
      <c r="M1100" s="229"/>
      <c r="N1100" s="232"/>
    </row>
    <row r="1101" hidden="1" spans="1:14">
      <c r="A1101" s="235"/>
      <c r="B1101" s="230" t="s">
        <v>1033</v>
      </c>
      <c r="C1101" s="229">
        <v>78.686963</v>
      </c>
      <c r="D1101" s="229">
        <v>78.686963</v>
      </c>
      <c r="E1101" s="229">
        <v>78.686963</v>
      </c>
      <c r="F1101" s="229"/>
      <c r="G1101" s="229"/>
      <c r="H1101" s="229"/>
      <c r="I1101" s="229"/>
      <c r="J1101" s="229"/>
      <c r="K1101" s="229"/>
      <c r="L1101" s="229"/>
      <c r="M1101" s="229"/>
      <c r="N1101" s="232"/>
    </row>
    <row r="1102" hidden="1" spans="1:14">
      <c r="A1102" s="235"/>
      <c r="B1102" s="230" t="s">
        <v>1027</v>
      </c>
      <c r="C1102" s="229">
        <v>6</v>
      </c>
      <c r="D1102" s="229">
        <v>6</v>
      </c>
      <c r="E1102" s="229">
        <v>6</v>
      </c>
      <c r="F1102" s="229"/>
      <c r="G1102" s="229"/>
      <c r="H1102" s="229"/>
      <c r="I1102" s="229"/>
      <c r="J1102" s="229"/>
      <c r="K1102" s="229"/>
      <c r="L1102" s="229"/>
      <c r="M1102" s="229"/>
      <c r="N1102" s="232"/>
    </row>
    <row r="1103" spans="1:14">
      <c r="A1103" s="227">
        <v>501002</v>
      </c>
      <c r="B1103" s="231" t="s">
        <v>729</v>
      </c>
      <c r="C1103" s="229">
        <v>370.77459</v>
      </c>
      <c r="D1103" s="229">
        <v>370.77459</v>
      </c>
      <c r="E1103" s="229">
        <v>370.77459</v>
      </c>
      <c r="F1103" s="229"/>
      <c r="G1103" s="229"/>
      <c r="H1103" s="229"/>
      <c r="I1103" s="229"/>
      <c r="J1103" s="229"/>
      <c r="K1103" s="229"/>
      <c r="L1103" s="229"/>
      <c r="M1103" s="229"/>
      <c r="N1103" s="233" t="s">
        <v>578</v>
      </c>
    </row>
    <row r="1104" hidden="1" spans="1:14">
      <c r="A1104" s="235"/>
      <c r="B1104" s="230" t="s">
        <v>1038</v>
      </c>
      <c r="C1104" s="229">
        <v>1.226</v>
      </c>
      <c r="D1104" s="229">
        <v>1.226</v>
      </c>
      <c r="E1104" s="229">
        <v>1.226</v>
      </c>
      <c r="F1104" s="229"/>
      <c r="G1104" s="229"/>
      <c r="H1104" s="229"/>
      <c r="I1104" s="229"/>
      <c r="J1104" s="229"/>
      <c r="K1104" s="229"/>
      <c r="L1104" s="229"/>
      <c r="M1104" s="229"/>
      <c r="N1104" s="232"/>
    </row>
    <row r="1105" hidden="1" spans="1:14">
      <c r="A1105" s="235"/>
      <c r="B1105" s="230" t="s">
        <v>1036</v>
      </c>
      <c r="C1105" s="229">
        <v>15.692352</v>
      </c>
      <c r="D1105" s="229">
        <v>15.692352</v>
      </c>
      <c r="E1105" s="229">
        <v>15.692352</v>
      </c>
      <c r="F1105" s="229"/>
      <c r="G1105" s="229"/>
      <c r="H1105" s="229"/>
      <c r="I1105" s="229"/>
      <c r="J1105" s="229"/>
      <c r="K1105" s="229"/>
      <c r="L1105" s="229"/>
      <c r="M1105" s="229"/>
      <c r="N1105" s="232"/>
    </row>
    <row r="1106" hidden="1" spans="1:14">
      <c r="A1106" s="235"/>
      <c r="B1106" s="230" t="s">
        <v>1034</v>
      </c>
      <c r="C1106" s="229">
        <v>1.014</v>
      </c>
      <c r="D1106" s="229">
        <v>1.014</v>
      </c>
      <c r="E1106" s="229">
        <v>1.014</v>
      </c>
      <c r="F1106" s="229"/>
      <c r="G1106" s="229"/>
      <c r="H1106" s="229"/>
      <c r="I1106" s="229"/>
      <c r="J1106" s="229"/>
      <c r="K1106" s="229"/>
      <c r="L1106" s="229"/>
      <c r="M1106" s="229"/>
      <c r="N1106" s="232"/>
    </row>
    <row r="1107" hidden="1" spans="1:14">
      <c r="A1107" s="235"/>
      <c r="B1107" s="230" t="s">
        <v>1033</v>
      </c>
      <c r="C1107" s="229">
        <v>61.660286</v>
      </c>
      <c r="D1107" s="229">
        <v>61.660286</v>
      </c>
      <c r="E1107" s="229">
        <v>61.660286</v>
      </c>
      <c r="F1107" s="229"/>
      <c r="G1107" s="229"/>
      <c r="H1107" s="229"/>
      <c r="I1107" s="229"/>
      <c r="J1107" s="229"/>
      <c r="K1107" s="229"/>
      <c r="L1107" s="229"/>
      <c r="M1107" s="229"/>
      <c r="N1107" s="232"/>
    </row>
    <row r="1108" hidden="1" spans="1:14">
      <c r="A1108" s="235"/>
      <c r="B1108" s="230" t="s">
        <v>1028</v>
      </c>
      <c r="C1108" s="229">
        <v>114.66</v>
      </c>
      <c r="D1108" s="229">
        <v>114.66</v>
      </c>
      <c r="E1108" s="229">
        <v>114.66</v>
      </c>
      <c r="F1108" s="229"/>
      <c r="G1108" s="229"/>
      <c r="H1108" s="229"/>
      <c r="I1108" s="229"/>
      <c r="J1108" s="229"/>
      <c r="K1108" s="229"/>
      <c r="L1108" s="229"/>
      <c r="M1108" s="229"/>
      <c r="N1108" s="232"/>
    </row>
    <row r="1109" hidden="1" spans="1:14">
      <c r="A1109" s="235"/>
      <c r="B1109" s="230" t="s">
        <v>1027</v>
      </c>
      <c r="C1109" s="229">
        <v>4</v>
      </c>
      <c r="D1109" s="229">
        <v>4</v>
      </c>
      <c r="E1109" s="229">
        <v>4</v>
      </c>
      <c r="F1109" s="229"/>
      <c r="G1109" s="229"/>
      <c r="H1109" s="229"/>
      <c r="I1109" s="229"/>
      <c r="J1109" s="229"/>
      <c r="K1109" s="229"/>
      <c r="L1109" s="229"/>
      <c r="M1109" s="229"/>
      <c r="N1109" s="232"/>
    </row>
    <row r="1110" hidden="1" spans="1:14">
      <c r="A1110" s="235"/>
      <c r="B1110" s="230" t="s">
        <v>1035</v>
      </c>
      <c r="C1110" s="229">
        <v>3.88</v>
      </c>
      <c r="D1110" s="229">
        <v>3.88</v>
      </c>
      <c r="E1110" s="229">
        <v>3.88</v>
      </c>
      <c r="F1110" s="229"/>
      <c r="G1110" s="229"/>
      <c r="H1110" s="229"/>
      <c r="I1110" s="229"/>
      <c r="J1110" s="229"/>
      <c r="K1110" s="229"/>
      <c r="L1110" s="229"/>
      <c r="M1110" s="229"/>
      <c r="N1110" s="232"/>
    </row>
    <row r="1111" hidden="1" spans="1:14">
      <c r="A1111" s="235"/>
      <c r="B1111" s="230" t="s">
        <v>1029</v>
      </c>
      <c r="C1111" s="229">
        <v>12.2</v>
      </c>
      <c r="D1111" s="229">
        <v>12.2</v>
      </c>
      <c r="E1111" s="229">
        <v>12.2</v>
      </c>
      <c r="F1111" s="229"/>
      <c r="G1111" s="229"/>
      <c r="H1111" s="229"/>
      <c r="I1111" s="229"/>
      <c r="J1111" s="229"/>
      <c r="K1111" s="229"/>
      <c r="L1111" s="229"/>
      <c r="M1111" s="229"/>
      <c r="N1111" s="232"/>
    </row>
    <row r="1112" hidden="1" spans="1:14">
      <c r="A1112" s="235"/>
      <c r="B1112" s="230" t="s">
        <v>1039</v>
      </c>
      <c r="C1112" s="229">
        <v>2.615392</v>
      </c>
      <c r="D1112" s="229">
        <v>2.615392</v>
      </c>
      <c r="E1112" s="229">
        <v>2.615392</v>
      </c>
      <c r="F1112" s="229"/>
      <c r="G1112" s="229"/>
      <c r="H1112" s="229"/>
      <c r="I1112" s="229"/>
      <c r="J1112" s="229"/>
      <c r="K1112" s="229"/>
      <c r="L1112" s="229"/>
      <c r="M1112" s="229"/>
      <c r="N1112" s="232"/>
    </row>
    <row r="1113" hidden="1" spans="1:14">
      <c r="A1113" s="235"/>
      <c r="B1113" s="230" t="s">
        <v>1037</v>
      </c>
      <c r="C1113" s="229">
        <v>19.29696</v>
      </c>
      <c r="D1113" s="229">
        <v>19.29696</v>
      </c>
      <c r="E1113" s="229">
        <v>19.29696</v>
      </c>
      <c r="F1113" s="229"/>
      <c r="G1113" s="229"/>
      <c r="H1113" s="229"/>
      <c r="I1113" s="229"/>
      <c r="J1113" s="229"/>
      <c r="K1113" s="229"/>
      <c r="L1113" s="229"/>
      <c r="M1113" s="229"/>
      <c r="N1113" s="232"/>
    </row>
    <row r="1114" hidden="1" spans="1:14">
      <c r="A1114" s="235"/>
      <c r="B1114" s="230" t="s">
        <v>1042</v>
      </c>
      <c r="C1114" s="229">
        <v>0.34</v>
      </c>
      <c r="D1114" s="229">
        <v>0.34</v>
      </c>
      <c r="E1114" s="229">
        <v>0.34</v>
      </c>
      <c r="F1114" s="229"/>
      <c r="G1114" s="229"/>
      <c r="H1114" s="229"/>
      <c r="I1114" s="229"/>
      <c r="J1114" s="229"/>
      <c r="K1114" s="229"/>
      <c r="L1114" s="229"/>
      <c r="M1114" s="229"/>
      <c r="N1114" s="232"/>
    </row>
    <row r="1115" hidden="1" spans="1:14">
      <c r="A1115" s="235"/>
      <c r="B1115" s="230" t="s">
        <v>1031</v>
      </c>
      <c r="C1115" s="229">
        <v>3.42</v>
      </c>
      <c r="D1115" s="229">
        <v>3.42</v>
      </c>
      <c r="E1115" s="229">
        <v>3.42</v>
      </c>
      <c r="F1115" s="229"/>
      <c r="G1115" s="229"/>
      <c r="H1115" s="229"/>
      <c r="I1115" s="229"/>
      <c r="J1115" s="229"/>
      <c r="K1115" s="229"/>
      <c r="L1115" s="229"/>
      <c r="M1115" s="229"/>
      <c r="N1115" s="232"/>
    </row>
    <row r="1116" hidden="1" spans="1:14">
      <c r="A1116" s="235"/>
      <c r="B1116" s="230" t="s">
        <v>1032</v>
      </c>
      <c r="C1116" s="229">
        <v>130.7696</v>
      </c>
      <c r="D1116" s="229">
        <v>130.7696</v>
      </c>
      <c r="E1116" s="229">
        <v>130.7696</v>
      </c>
      <c r="F1116" s="229"/>
      <c r="G1116" s="229"/>
      <c r="H1116" s="229"/>
      <c r="I1116" s="229"/>
      <c r="J1116" s="229"/>
      <c r="K1116" s="229"/>
      <c r="L1116" s="229"/>
      <c r="M1116" s="229"/>
      <c r="N1116" s="232"/>
    </row>
    <row r="1117" spans="1:14">
      <c r="A1117" s="227">
        <v>501003</v>
      </c>
      <c r="B1117" s="231" t="s">
        <v>730</v>
      </c>
      <c r="C1117" s="229">
        <v>544.00277</v>
      </c>
      <c r="D1117" s="229">
        <v>544.00277</v>
      </c>
      <c r="E1117" s="229"/>
      <c r="F1117" s="229">
        <v>544.00277</v>
      </c>
      <c r="G1117" s="229"/>
      <c r="H1117" s="229"/>
      <c r="I1117" s="229"/>
      <c r="J1117" s="229"/>
      <c r="K1117" s="229"/>
      <c r="L1117" s="229"/>
      <c r="M1117" s="229"/>
      <c r="N1117" s="233" t="s">
        <v>578</v>
      </c>
    </row>
    <row r="1118" hidden="1" spans="1:14">
      <c r="A1118" s="235"/>
      <c r="B1118" s="230" t="s">
        <v>1029</v>
      </c>
      <c r="C1118" s="229">
        <v>27.53575</v>
      </c>
      <c r="D1118" s="229">
        <v>27.53575</v>
      </c>
      <c r="E1118" s="229"/>
      <c r="F1118" s="229">
        <v>27.53575</v>
      </c>
      <c r="G1118" s="229"/>
      <c r="H1118" s="229"/>
      <c r="I1118" s="229"/>
      <c r="J1118" s="229"/>
      <c r="K1118" s="229"/>
      <c r="L1118" s="229"/>
      <c r="M1118" s="229"/>
      <c r="N1118" s="232"/>
    </row>
    <row r="1119" hidden="1" spans="1:14">
      <c r="A1119" s="235"/>
      <c r="B1119" s="230" t="s">
        <v>1033</v>
      </c>
      <c r="C1119" s="229">
        <v>150.577256</v>
      </c>
      <c r="D1119" s="229">
        <v>150.577256</v>
      </c>
      <c r="E1119" s="229"/>
      <c r="F1119" s="229">
        <v>150.577256</v>
      </c>
      <c r="G1119" s="229"/>
      <c r="H1119" s="229"/>
      <c r="I1119" s="229"/>
      <c r="J1119" s="229"/>
      <c r="K1119" s="229"/>
      <c r="L1119" s="229"/>
      <c r="M1119" s="229"/>
      <c r="N1119" s="232"/>
    </row>
    <row r="1120" hidden="1" spans="1:14">
      <c r="A1120" s="235"/>
      <c r="B1120" s="230" t="s">
        <v>1031</v>
      </c>
      <c r="C1120" s="229">
        <v>0.66</v>
      </c>
      <c r="D1120" s="229">
        <v>0.66</v>
      </c>
      <c r="E1120" s="229"/>
      <c r="F1120" s="229">
        <v>0.66</v>
      </c>
      <c r="G1120" s="229"/>
      <c r="H1120" s="229"/>
      <c r="I1120" s="229"/>
      <c r="J1120" s="229"/>
      <c r="K1120" s="229"/>
      <c r="L1120" s="229"/>
      <c r="M1120" s="229"/>
      <c r="N1120" s="232"/>
    </row>
    <row r="1121" hidden="1" spans="1:14">
      <c r="A1121" s="235"/>
      <c r="B1121" s="230" t="s">
        <v>1038</v>
      </c>
      <c r="C1121" s="229">
        <v>0.18</v>
      </c>
      <c r="D1121" s="229">
        <v>0.18</v>
      </c>
      <c r="E1121" s="229"/>
      <c r="F1121" s="229">
        <v>0.18</v>
      </c>
      <c r="G1121" s="229"/>
      <c r="H1121" s="229"/>
      <c r="I1121" s="229"/>
      <c r="J1121" s="229"/>
      <c r="K1121" s="229"/>
      <c r="L1121" s="229"/>
      <c r="M1121" s="229"/>
      <c r="N1121" s="232"/>
    </row>
    <row r="1122" hidden="1" spans="1:14">
      <c r="A1122" s="235"/>
      <c r="B1122" s="230" t="s">
        <v>1035</v>
      </c>
      <c r="C1122" s="229">
        <v>1.2</v>
      </c>
      <c r="D1122" s="229">
        <v>1.2</v>
      </c>
      <c r="E1122" s="229"/>
      <c r="F1122" s="229">
        <v>1.2</v>
      </c>
      <c r="G1122" s="229"/>
      <c r="H1122" s="229"/>
      <c r="I1122" s="229"/>
      <c r="J1122" s="229"/>
      <c r="K1122" s="229"/>
      <c r="L1122" s="229"/>
      <c r="M1122" s="229"/>
      <c r="N1122" s="232"/>
    </row>
    <row r="1123" hidden="1" spans="1:14">
      <c r="A1123" s="235"/>
      <c r="B1123" s="230" t="s">
        <v>1039</v>
      </c>
      <c r="C1123" s="229">
        <v>9.704252</v>
      </c>
      <c r="D1123" s="229">
        <v>9.704252</v>
      </c>
      <c r="E1123" s="229"/>
      <c r="F1123" s="229">
        <v>9.704252</v>
      </c>
      <c r="G1123" s="229"/>
      <c r="H1123" s="229"/>
      <c r="I1123" s="229"/>
      <c r="J1123" s="229"/>
      <c r="K1123" s="229"/>
      <c r="L1123" s="229"/>
      <c r="M1123" s="229"/>
      <c r="N1123" s="232"/>
    </row>
    <row r="1124" hidden="1" spans="1:14">
      <c r="A1124" s="235"/>
      <c r="B1124" s="230" t="s">
        <v>1036</v>
      </c>
      <c r="C1124" s="229">
        <v>58.225512</v>
      </c>
      <c r="D1124" s="229">
        <v>58.225512</v>
      </c>
      <c r="E1124" s="229"/>
      <c r="F1124" s="229">
        <v>58.225512</v>
      </c>
      <c r="G1124" s="229"/>
      <c r="H1124" s="229"/>
      <c r="I1124" s="229"/>
      <c r="J1124" s="229"/>
      <c r="K1124" s="229"/>
      <c r="L1124" s="229"/>
      <c r="M1124" s="229"/>
      <c r="N1124" s="232"/>
    </row>
    <row r="1125" hidden="1" spans="1:14">
      <c r="A1125" s="235"/>
      <c r="B1125" s="230" t="s">
        <v>1032</v>
      </c>
      <c r="C1125" s="229">
        <v>295.92</v>
      </c>
      <c r="D1125" s="229">
        <v>295.92</v>
      </c>
      <c r="E1125" s="229"/>
      <c r="F1125" s="229">
        <v>295.92</v>
      </c>
      <c r="G1125" s="229"/>
      <c r="H1125" s="229"/>
      <c r="I1125" s="229"/>
      <c r="J1125" s="229"/>
      <c r="K1125" s="229"/>
      <c r="L1125" s="229"/>
      <c r="M1125" s="229"/>
      <c r="N1125" s="232"/>
    </row>
    <row r="1126" spans="1:14">
      <c r="A1126" s="227">
        <v>502001</v>
      </c>
      <c r="B1126" s="231" t="s">
        <v>731</v>
      </c>
      <c r="C1126" s="229">
        <v>450.959602</v>
      </c>
      <c r="D1126" s="229">
        <v>450.959602</v>
      </c>
      <c r="E1126" s="229">
        <v>450.959602</v>
      </c>
      <c r="F1126" s="229"/>
      <c r="G1126" s="229"/>
      <c r="H1126" s="229"/>
      <c r="I1126" s="229"/>
      <c r="J1126" s="229"/>
      <c r="K1126" s="229"/>
      <c r="L1126" s="229"/>
      <c r="M1126" s="229"/>
      <c r="N1126" s="233" t="s">
        <v>578</v>
      </c>
    </row>
    <row r="1127" hidden="1" spans="1:14">
      <c r="A1127" s="235"/>
      <c r="B1127" s="230" t="s">
        <v>1032</v>
      </c>
      <c r="C1127" s="229">
        <v>200.19168</v>
      </c>
      <c r="D1127" s="229">
        <v>200.19168</v>
      </c>
      <c r="E1127" s="229">
        <v>200.19168</v>
      </c>
      <c r="F1127" s="229"/>
      <c r="G1127" s="229"/>
      <c r="H1127" s="229"/>
      <c r="I1127" s="229"/>
      <c r="J1127" s="229"/>
      <c r="K1127" s="229"/>
      <c r="L1127" s="229"/>
      <c r="M1127" s="229"/>
      <c r="N1127" s="232"/>
    </row>
    <row r="1128" hidden="1" spans="1:14">
      <c r="A1128" s="235"/>
      <c r="B1128" s="230" t="s">
        <v>1033</v>
      </c>
      <c r="C1128" s="229">
        <v>74.783186</v>
      </c>
      <c r="D1128" s="229">
        <v>74.783186</v>
      </c>
      <c r="E1128" s="229">
        <v>74.783186</v>
      </c>
      <c r="F1128" s="229"/>
      <c r="G1128" s="229"/>
      <c r="H1128" s="229"/>
      <c r="I1128" s="229"/>
      <c r="J1128" s="229"/>
      <c r="K1128" s="229"/>
      <c r="L1128" s="229"/>
      <c r="M1128" s="229"/>
      <c r="N1128" s="232"/>
    </row>
    <row r="1129" hidden="1" spans="1:14">
      <c r="A1129" s="235"/>
      <c r="B1129" s="230" t="s">
        <v>1037</v>
      </c>
      <c r="C1129" s="229">
        <v>18.5371</v>
      </c>
      <c r="D1129" s="229">
        <v>18.5371</v>
      </c>
      <c r="E1129" s="229">
        <v>18.5371</v>
      </c>
      <c r="F1129" s="229"/>
      <c r="G1129" s="229"/>
      <c r="H1129" s="229"/>
      <c r="I1129" s="229"/>
      <c r="J1129" s="229"/>
      <c r="K1129" s="229"/>
      <c r="L1129" s="229"/>
      <c r="M1129" s="229"/>
      <c r="N1129" s="232"/>
    </row>
    <row r="1130" hidden="1" spans="1:14">
      <c r="A1130" s="235"/>
      <c r="B1130" s="230" t="s">
        <v>1029</v>
      </c>
      <c r="C1130" s="229">
        <v>18.3</v>
      </c>
      <c r="D1130" s="229">
        <v>18.3</v>
      </c>
      <c r="E1130" s="229">
        <v>18.3</v>
      </c>
      <c r="F1130" s="229"/>
      <c r="G1130" s="229"/>
      <c r="H1130" s="229"/>
      <c r="I1130" s="229"/>
      <c r="J1130" s="229"/>
      <c r="K1130" s="229"/>
      <c r="L1130" s="229"/>
      <c r="M1130" s="229"/>
      <c r="N1130" s="232"/>
    </row>
    <row r="1131" hidden="1" spans="1:14">
      <c r="A1131" s="235"/>
      <c r="B1131" s="230" t="s">
        <v>1036</v>
      </c>
      <c r="C1131" s="229">
        <v>24.023002</v>
      </c>
      <c r="D1131" s="229">
        <v>24.023002</v>
      </c>
      <c r="E1131" s="229">
        <v>24.023002</v>
      </c>
      <c r="F1131" s="229"/>
      <c r="G1131" s="229"/>
      <c r="H1131" s="229"/>
      <c r="I1131" s="229"/>
      <c r="J1131" s="229"/>
      <c r="K1131" s="229"/>
      <c r="L1131" s="229"/>
      <c r="M1131" s="229"/>
      <c r="N1131" s="232"/>
    </row>
    <row r="1132" hidden="1" spans="1:14">
      <c r="A1132" s="235"/>
      <c r="B1132" s="230" t="s">
        <v>1034</v>
      </c>
      <c r="C1132" s="229">
        <v>3.3288</v>
      </c>
      <c r="D1132" s="229">
        <v>3.3288</v>
      </c>
      <c r="E1132" s="229">
        <v>3.3288</v>
      </c>
      <c r="F1132" s="229"/>
      <c r="G1132" s="229"/>
      <c r="H1132" s="229"/>
      <c r="I1132" s="229"/>
      <c r="J1132" s="229"/>
      <c r="K1132" s="229"/>
      <c r="L1132" s="229"/>
      <c r="M1132" s="229"/>
      <c r="N1132" s="232"/>
    </row>
    <row r="1133" hidden="1" spans="1:14">
      <c r="A1133" s="235"/>
      <c r="B1133" s="230" t="s">
        <v>1031</v>
      </c>
      <c r="C1133" s="229">
        <v>10.368</v>
      </c>
      <c r="D1133" s="229">
        <v>10.368</v>
      </c>
      <c r="E1133" s="229">
        <v>10.368</v>
      </c>
      <c r="F1133" s="229"/>
      <c r="G1133" s="229"/>
      <c r="H1133" s="229"/>
      <c r="I1133" s="229"/>
      <c r="J1133" s="229"/>
      <c r="K1133" s="229"/>
      <c r="L1133" s="229"/>
      <c r="M1133" s="229"/>
      <c r="N1133" s="232"/>
    </row>
    <row r="1134" hidden="1" spans="1:14">
      <c r="A1134" s="235"/>
      <c r="B1134" s="230" t="s">
        <v>1042</v>
      </c>
      <c r="C1134" s="229">
        <v>0.17</v>
      </c>
      <c r="D1134" s="229">
        <v>0.17</v>
      </c>
      <c r="E1134" s="229">
        <v>0.17</v>
      </c>
      <c r="F1134" s="229"/>
      <c r="G1134" s="229"/>
      <c r="H1134" s="229"/>
      <c r="I1134" s="229"/>
      <c r="J1134" s="229"/>
      <c r="K1134" s="229"/>
      <c r="L1134" s="229"/>
      <c r="M1134" s="229"/>
      <c r="N1134" s="232"/>
    </row>
    <row r="1135" hidden="1" spans="1:14">
      <c r="A1135" s="235"/>
      <c r="B1135" s="230" t="s">
        <v>1027</v>
      </c>
      <c r="C1135" s="229">
        <v>2</v>
      </c>
      <c r="D1135" s="229">
        <v>2</v>
      </c>
      <c r="E1135" s="229">
        <v>2</v>
      </c>
      <c r="F1135" s="229"/>
      <c r="G1135" s="229"/>
      <c r="H1135" s="229"/>
      <c r="I1135" s="229"/>
      <c r="J1135" s="229"/>
      <c r="K1135" s="229"/>
      <c r="L1135" s="229"/>
      <c r="M1135" s="229"/>
      <c r="N1135" s="232"/>
    </row>
    <row r="1136" hidden="1" spans="1:14">
      <c r="A1136" s="235"/>
      <c r="B1136" s="230" t="s">
        <v>1039</v>
      </c>
      <c r="C1136" s="229">
        <v>4.003834</v>
      </c>
      <c r="D1136" s="229">
        <v>4.003834</v>
      </c>
      <c r="E1136" s="229">
        <v>4.003834</v>
      </c>
      <c r="F1136" s="229"/>
      <c r="G1136" s="229"/>
      <c r="H1136" s="229"/>
      <c r="I1136" s="229"/>
      <c r="J1136" s="229"/>
      <c r="K1136" s="229"/>
      <c r="L1136" s="229"/>
      <c r="M1136" s="229"/>
      <c r="N1136" s="232"/>
    </row>
    <row r="1137" hidden="1" spans="1:14">
      <c r="A1137" s="235"/>
      <c r="B1137" s="230" t="s">
        <v>1038</v>
      </c>
      <c r="C1137" s="229">
        <v>1.026</v>
      </c>
      <c r="D1137" s="229">
        <v>1.026</v>
      </c>
      <c r="E1137" s="229">
        <v>1.026</v>
      </c>
      <c r="F1137" s="229"/>
      <c r="G1137" s="229"/>
      <c r="H1137" s="229"/>
      <c r="I1137" s="229"/>
      <c r="J1137" s="229"/>
      <c r="K1137" s="229"/>
      <c r="L1137" s="229"/>
      <c r="M1137" s="229"/>
      <c r="N1137" s="232"/>
    </row>
    <row r="1138" hidden="1" spans="1:14">
      <c r="A1138" s="235"/>
      <c r="B1138" s="230" t="s">
        <v>1035</v>
      </c>
      <c r="C1138" s="229">
        <v>2.98</v>
      </c>
      <c r="D1138" s="229">
        <v>2.98</v>
      </c>
      <c r="E1138" s="229">
        <v>2.98</v>
      </c>
      <c r="F1138" s="229"/>
      <c r="G1138" s="229"/>
      <c r="H1138" s="229"/>
      <c r="I1138" s="229"/>
      <c r="J1138" s="229"/>
      <c r="K1138" s="229"/>
      <c r="L1138" s="229"/>
      <c r="M1138" s="229"/>
      <c r="N1138" s="232"/>
    </row>
    <row r="1139" hidden="1" spans="1:14">
      <c r="A1139" s="235"/>
      <c r="B1139" s="230" t="s">
        <v>1028</v>
      </c>
      <c r="C1139" s="229">
        <v>91.248</v>
      </c>
      <c r="D1139" s="229">
        <v>91.248</v>
      </c>
      <c r="E1139" s="229">
        <v>91.248</v>
      </c>
      <c r="F1139" s="229"/>
      <c r="G1139" s="229"/>
      <c r="H1139" s="229"/>
      <c r="I1139" s="229"/>
      <c r="J1139" s="229"/>
      <c r="K1139" s="229"/>
      <c r="L1139" s="229"/>
      <c r="M1139" s="229"/>
      <c r="N1139" s="232"/>
    </row>
    <row r="1140" spans="1:14">
      <c r="A1140" s="227">
        <v>503001</v>
      </c>
      <c r="B1140" s="231" t="s">
        <v>732</v>
      </c>
      <c r="C1140" s="229">
        <v>568.967907</v>
      </c>
      <c r="D1140" s="229">
        <v>568.967907</v>
      </c>
      <c r="E1140" s="229">
        <v>568.967907</v>
      </c>
      <c r="F1140" s="229"/>
      <c r="G1140" s="229"/>
      <c r="H1140" s="229"/>
      <c r="I1140" s="229"/>
      <c r="J1140" s="229"/>
      <c r="K1140" s="229"/>
      <c r="L1140" s="229"/>
      <c r="M1140" s="229"/>
      <c r="N1140" s="233" t="s">
        <v>578</v>
      </c>
    </row>
    <row r="1141" hidden="1" spans="1:14">
      <c r="A1141" s="235"/>
      <c r="B1141" s="230" t="s">
        <v>1030</v>
      </c>
      <c r="C1141" s="229">
        <v>4</v>
      </c>
      <c r="D1141" s="229">
        <v>4</v>
      </c>
      <c r="E1141" s="229">
        <v>4</v>
      </c>
      <c r="F1141" s="229"/>
      <c r="G1141" s="229"/>
      <c r="H1141" s="229"/>
      <c r="I1141" s="229"/>
      <c r="J1141" s="229"/>
      <c r="K1141" s="229"/>
      <c r="L1141" s="229"/>
      <c r="M1141" s="229"/>
      <c r="N1141" s="232"/>
    </row>
    <row r="1142" hidden="1" spans="1:14">
      <c r="A1142" s="235"/>
      <c r="B1142" s="230" t="s">
        <v>1039</v>
      </c>
      <c r="C1142" s="229">
        <v>7.417116</v>
      </c>
      <c r="D1142" s="229">
        <v>7.417116</v>
      </c>
      <c r="E1142" s="229">
        <v>7.417116</v>
      </c>
      <c r="F1142" s="229"/>
      <c r="G1142" s="229"/>
      <c r="H1142" s="229"/>
      <c r="I1142" s="229"/>
      <c r="J1142" s="229"/>
      <c r="K1142" s="229"/>
      <c r="L1142" s="229"/>
      <c r="M1142" s="229"/>
      <c r="N1142" s="232"/>
    </row>
    <row r="1143" hidden="1" spans="1:14">
      <c r="A1143" s="235"/>
      <c r="B1143" s="230" t="s">
        <v>1029</v>
      </c>
      <c r="C1143" s="229">
        <v>40.1115</v>
      </c>
      <c r="D1143" s="229">
        <v>40.1115</v>
      </c>
      <c r="E1143" s="229">
        <v>40.1115</v>
      </c>
      <c r="F1143" s="229"/>
      <c r="G1143" s="229"/>
      <c r="H1143" s="229"/>
      <c r="I1143" s="237"/>
      <c r="J1143" s="229"/>
      <c r="K1143" s="229"/>
      <c r="L1143" s="229"/>
      <c r="M1143" s="229"/>
      <c r="N1143" s="232"/>
    </row>
    <row r="1144" hidden="1" spans="1:14">
      <c r="A1144" s="235"/>
      <c r="B1144" s="230" t="s">
        <v>1036</v>
      </c>
      <c r="C1144" s="229">
        <v>44.502696</v>
      </c>
      <c r="D1144" s="229">
        <v>44.502696</v>
      </c>
      <c r="E1144" s="229">
        <v>44.502696</v>
      </c>
      <c r="F1144" s="229"/>
      <c r="G1144" s="229"/>
      <c r="H1144" s="229"/>
      <c r="I1144" s="229"/>
      <c r="J1144" s="229"/>
      <c r="K1144" s="229"/>
      <c r="L1144" s="229"/>
      <c r="M1144" s="229"/>
      <c r="N1144" s="232"/>
    </row>
    <row r="1145" hidden="1" spans="1:14">
      <c r="A1145" s="235"/>
      <c r="B1145" s="230" t="s">
        <v>1033</v>
      </c>
      <c r="C1145" s="229">
        <v>100.555795</v>
      </c>
      <c r="D1145" s="229">
        <v>100.555795</v>
      </c>
      <c r="E1145" s="229">
        <v>100.555795</v>
      </c>
      <c r="F1145" s="229"/>
      <c r="G1145" s="229"/>
      <c r="H1145" s="229"/>
      <c r="I1145" s="229"/>
      <c r="J1145" s="229"/>
      <c r="K1145" s="229"/>
      <c r="L1145" s="229"/>
      <c r="M1145" s="229"/>
      <c r="N1145" s="232"/>
    </row>
    <row r="1146" hidden="1" spans="1:14">
      <c r="A1146" s="235"/>
      <c r="B1146" s="230" t="s">
        <v>1032</v>
      </c>
      <c r="C1146" s="229">
        <v>370.8558</v>
      </c>
      <c r="D1146" s="229">
        <v>370.8558</v>
      </c>
      <c r="E1146" s="229">
        <v>370.8558</v>
      </c>
      <c r="F1146" s="229"/>
      <c r="G1146" s="229"/>
      <c r="H1146" s="229"/>
      <c r="I1146" s="229"/>
      <c r="J1146" s="229"/>
      <c r="K1146" s="229"/>
      <c r="L1146" s="229"/>
      <c r="M1146" s="229"/>
      <c r="N1146" s="232"/>
    </row>
    <row r="1147" hidden="1" spans="1:14">
      <c r="A1147" s="235"/>
      <c r="B1147" s="230" t="s">
        <v>1031</v>
      </c>
      <c r="C1147" s="229">
        <v>1.525</v>
      </c>
      <c r="D1147" s="229">
        <v>1.525</v>
      </c>
      <c r="E1147" s="229">
        <v>1.525</v>
      </c>
      <c r="F1147" s="229"/>
      <c r="G1147" s="229"/>
      <c r="H1147" s="229"/>
      <c r="I1147" s="229"/>
      <c r="J1147" s="229"/>
      <c r="K1147" s="229"/>
      <c r="L1147" s="229"/>
      <c r="M1147" s="229"/>
      <c r="N1147" s="232"/>
    </row>
    <row r="1148" spans="1:14">
      <c r="A1148" s="227">
        <v>504001</v>
      </c>
      <c r="B1148" s="231" t="s">
        <v>733</v>
      </c>
      <c r="C1148" s="229">
        <v>658.673988</v>
      </c>
      <c r="D1148" s="229">
        <v>658.673988</v>
      </c>
      <c r="E1148" s="229">
        <v>658.673988</v>
      </c>
      <c r="F1148" s="229"/>
      <c r="G1148" s="229"/>
      <c r="H1148" s="229"/>
      <c r="I1148" s="229"/>
      <c r="J1148" s="229"/>
      <c r="K1148" s="229"/>
      <c r="L1148" s="229"/>
      <c r="M1148" s="229"/>
      <c r="N1148" s="233" t="s">
        <v>578</v>
      </c>
    </row>
    <row r="1149" hidden="1" spans="1:14">
      <c r="A1149" s="235"/>
      <c r="B1149" s="230" t="s">
        <v>1033</v>
      </c>
      <c r="C1149" s="229">
        <v>113.679525</v>
      </c>
      <c r="D1149" s="229">
        <v>113.679525</v>
      </c>
      <c r="E1149" s="229">
        <v>113.679525</v>
      </c>
      <c r="F1149" s="229"/>
      <c r="G1149" s="229"/>
      <c r="H1149" s="229"/>
      <c r="I1149" s="229"/>
      <c r="J1149" s="229"/>
      <c r="K1149" s="229"/>
      <c r="L1149" s="229"/>
      <c r="M1149" s="229"/>
      <c r="N1149" s="232"/>
    </row>
    <row r="1150" hidden="1" spans="1:14">
      <c r="A1150" s="235"/>
      <c r="B1150" s="230" t="s">
        <v>1032</v>
      </c>
      <c r="C1150" s="229">
        <v>400.654792</v>
      </c>
      <c r="D1150" s="229">
        <v>400.654792</v>
      </c>
      <c r="E1150" s="229">
        <v>400.654792</v>
      </c>
      <c r="F1150" s="229"/>
      <c r="G1150" s="229"/>
      <c r="H1150" s="229"/>
      <c r="I1150" s="229"/>
      <c r="J1150" s="229"/>
      <c r="K1150" s="229"/>
      <c r="L1150" s="229"/>
      <c r="M1150" s="229"/>
      <c r="N1150" s="232"/>
    </row>
    <row r="1151" hidden="1" spans="1:14">
      <c r="A1151" s="235"/>
      <c r="B1151" s="230" t="s">
        <v>1027</v>
      </c>
      <c r="C1151" s="229">
        <v>6</v>
      </c>
      <c r="D1151" s="229">
        <v>6</v>
      </c>
      <c r="E1151" s="229">
        <v>6</v>
      </c>
      <c r="F1151" s="229"/>
      <c r="G1151" s="229"/>
      <c r="H1151" s="229"/>
      <c r="I1151" s="229"/>
      <c r="J1151" s="229"/>
      <c r="K1151" s="229"/>
      <c r="L1151" s="229"/>
      <c r="M1151" s="229"/>
      <c r="N1151" s="232"/>
    </row>
    <row r="1152" hidden="1" spans="1:14">
      <c r="A1152" s="235"/>
      <c r="B1152" s="230" t="s">
        <v>1039</v>
      </c>
      <c r="C1152" s="229">
        <v>8.013096</v>
      </c>
      <c r="D1152" s="229">
        <v>8.013096</v>
      </c>
      <c r="E1152" s="229">
        <v>8.013096</v>
      </c>
      <c r="F1152" s="229"/>
      <c r="G1152" s="229"/>
      <c r="H1152" s="229"/>
      <c r="I1152" s="229"/>
      <c r="J1152" s="229"/>
      <c r="K1152" s="229"/>
      <c r="L1152" s="229"/>
      <c r="M1152" s="229"/>
      <c r="N1152" s="232"/>
    </row>
    <row r="1153" hidden="1" spans="1:14">
      <c r="A1153" s="235"/>
      <c r="B1153" s="230" t="s">
        <v>1035</v>
      </c>
      <c r="C1153" s="229">
        <v>0.8</v>
      </c>
      <c r="D1153" s="229">
        <v>0.8</v>
      </c>
      <c r="E1153" s="229">
        <v>0.8</v>
      </c>
      <c r="F1153" s="229"/>
      <c r="G1153" s="229"/>
      <c r="H1153" s="229"/>
      <c r="I1153" s="229"/>
      <c r="J1153" s="229"/>
      <c r="K1153" s="229"/>
      <c r="L1153" s="229"/>
      <c r="M1153" s="229"/>
      <c r="N1153" s="232"/>
    </row>
    <row r="1154" hidden="1" spans="1:14">
      <c r="A1154" s="235"/>
      <c r="B1154" s="230" t="s">
        <v>1031</v>
      </c>
      <c r="C1154" s="229">
        <v>18.24</v>
      </c>
      <c r="D1154" s="229">
        <v>18.24</v>
      </c>
      <c r="E1154" s="229">
        <v>18.24</v>
      </c>
      <c r="F1154" s="229"/>
      <c r="G1154" s="229"/>
      <c r="H1154" s="229"/>
      <c r="I1154" s="229"/>
      <c r="J1154" s="229"/>
      <c r="K1154" s="229"/>
      <c r="L1154" s="229"/>
      <c r="M1154" s="229"/>
      <c r="N1154" s="232"/>
    </row>
    <row r="1155" hidden="1" spans="1:14">
      <c r="A1155" s="235"/>
      <c r="B1155" s="230" t="s">
        <v>1038</v>
      </c>
      <c r="C1155" s="229">
        <v>0.06</v>
      </c>
      <c r="D1155" s="229">
        <v>0.06</v>
      </c>
      <c r="E1155" s="229">
        <v>0.06</v>
      </c>
      <c r="F1155" s="229"/>
      <c r="G1155" s="229"/>
      <c r="H1155" s="229"/>
      <c r="I1155" s="229"/>
      <c r="J1155" s="229"/>
      <c r="K1155" s="229"/>
      <c r="L1155" s="229"/>
      <c r="M1155" s="229"/>
      <c r="N1155" s="232"/>
    </row>
    <row r="1156" hidden="1" spans="1:14">
      <c r="A1156" s="235"/>
      <c r="B1156" s="230" t="s">
        <v>1029</v>
      </c>
      <c r="C1156" s="229">
        <v>39.04</v>
      </c>
      <c r="D1156" s="229">
        <v>39.04</v>
      </c>
      <c r="E1156" s="229">
        <v>39.04</v>
      </c>
      <c r="F1156" s="229"/>
      <c r="G1156" s="229"/>
      <c r="H1156" s="229"/>
      <c r="I1156" s="229"/>
      <c r="J1156" s="229"/>
      <c r="K1156" s="229"/>
      <c r="L1156" s="229"/>
      <c r="M1156" s="229"/>
      <c r="N1156" s="232"/>
    </row>
    <row r="1157" hidden="1" spans="1:14">
      <c r="A1157" s="235"/>
      <c r="B1157" s="230" t="s">
        <v>1037</v>
      </c>
      <c r="C1157" s="229">
        <v>0.588</v>
      </c>
      <c r="D1157" s="229">
        <v>0.588</v>
      </c>
      <c r="E1157" s="229">
        <v>0.588</v>
      </c>
      <c r="F1157" s="229"/>
      <c r="G1157" s="229"/>
      <c r="H1157" s="229"/>
      <c r="I1157" s="229"/>
      <c r="J1157" s="229"/>
      <c r="K1157" s="229"/>
      <c r="L1157" s="229"/>
      <c r="M1157" s="229"/>
      <c r="N1157" s="232"/>
    </row>
    <row r="1158" hidden="1" spans="1:14">
      <c r="A1158" s="235"/>
      <c r="B1158" s="230" t="s">
        <v>1028</v>
      </c>
      <c r="C1158" s="229">
        <v>23.52</v>
      </c>
      <c r="D1158" s="229">
        <v>23.52</v>
      </c>
      <c r="E1158" s="229">
        <v>23.52</v>
      </c>
      <c r="F1158" s="229"/>
      <c r="G1158" s="229"/>
      <c r="H1158" s="229"/>
      <c r="I1158" s="229"/>
      <c r="J1158" s="229"/>
      <c r="K1158" s="229"/>
      <c r="L1158" s="229"/>
      <c r="M1158" s="229"/>
      <c r="N1158" s="232"/>
    </row>
    <row r="1159" hidden="1" spans="1:14">
      <c r="A1159" s="235"/>
      <c r="B1159" s="230" t="s">
        <v>1036</v>
      </c>
      <c r="C1159" s="229">
        <v>48.078575</v>
      </c>
      <c r="D1159" s="229">
        <v>48.078575</v>
      </c>
      <c r="E1159" s="229">
        <v>48.078575</v>
      </c>
      <c r="F1159" s="229"/>
      <c r="G1159" s="229"/>
      <c r="H1159" s="229"/>
      <c r="I1159" s="229"/>
      <c r="J1159" s="229"/>
      <c r="K1159" s="229"/>
      <c r="L1159" s="229"/>
      <c r="M1159" s="229"/>
      <c r="N1159" s="232"/>
    </row>
    <row r="1160" spans="1:14">
      <c r="A1160" s="227">
        <v>505001</v>
      </c>
      <c r="B1160" s="231" t="s">
        <v>734</v>
      </c>
      <c r="C1160" s="229">
        <v>558.682394</v>
      </c>
      <c r="D1160" s="229">
        <v>558.682394</v>
      </c>
      <c r="E1160" s="229">
        <v>558.682394</v>
      </c>
      <c r="F1160" s="229"/>
      <c r="G1160" s="229"/>
      <c r="H1160" s="229"/>
      <c r="I1160" s="229"/>
      <c r="J1160" s="229"/>
      <c r="K1160" s="229"/>
      <c r="L1160" s="229"/>
      <c r="M1160" s="229"/>
      <c r="N1160" s="233" t="s">
        <v>578</v>
      </c>
    </row>
    <row r="1161" hidden="1" spans="1:14">
      <c r="A1161" s="235"/>
      <c r="B1161" s="230" t="s">
        <v>1029</v>
      </c>
      <c r="C1161" s="229">
        <v>26.84</v>
      </c>
      <c r="D1161" s="229">
        <v>26.84</v>
      </c>
      <c r="E1161" s="229">
        <v>26.84</v>
      </c>
      <c r="F1161" s="229"/>
      <c r="G1161" s="229"/>
      <c r="H1161" s="229"/>
      <c r="I1161" s="229"/>
      <c r="J1161" s="229"/>
      <c r="K1161" s="229"/>
      <c r="L1161" s="229"/>
      <c r="M1161" s="229"/>
      <c r="N1161" s="232"/>
    </row>
    <row r="1162" hidden="1" spans="1:14">
      <c r="A1162" s="235"/>
      <c r="B1162" s="230" t="s">
        <v>1033</v>
      </c>
      <c r="C1162" s="229">
        <v>94.7964</v>
      </c>
      <c r="D1162" s="229">
        <v>94.7964</v>
      </c>
      <c r="E1162" s="229">
        <v>94.7964</v>
      </c>
      <c r="F1162" s="229"/>
      <c r="G1162" s="229"/>
      <c r="H1162" s="229"/>
      <c r="I1162" s="229"/>
      <c r="J1162" s="229"/>
      <c r="K1162" s="229"/>
      <c r="L1162" s="229"/>
      <c r="M1162" s="229"/>
      <c r="N1162" s="232"/>
    </row>
    <row r="1163" hidden="1" spans="1:14">
      <c r="A1163" s="235"/>
      <c r="B1163" s="230" t="s">
        <v>1032</v>
      </c>
      <c r="C1163" s="229">
        <v>308.6006</v>
      </c>
      <c r="D1163" s="229">
        <v>308.6006</v>
      </c>
      <c r="E1163" s="229">
        <v>308.6006</v>
      </c>
      <c r="F1163" s="229"/>
      <c r="G1163" s="229"/>
      <c r="H1163" s="229"/>
      <c r="I1163" s="229"/>
      <c r="J1163" s="229"/>
      <c r="K1163" s="229"/>
      <c r="L1163" s="229"/>
      <c r="M1163" s="229"/>
      <c r="N1163" s="232"/>
    </row>
    <row r="1164" hidden="1" spans="1:14">
      <c r="A1164" s="235"/>
      <c r="B1164" s="230" t="s">
        <v>1039</v>
      </c>
      <c r="C1164" s="229">
        <v>6.172012</v>
      </c>
      <c r="D1164" s="229">
        <v>6.172012</v>
      </c>
      <c r="E1164" s="229">
        <v>6.172012</v>
      </c>
      <c r="F1164" s="229"/>
      <c r="G1164" s="229"/>
      <c r="H1164" s="229"/>
      <c r="I1164" s="229"/>
      <c r="J1164" s="229"/>
      <c r="K1164" s="229"/>
      <c r="L1164" s="229"/>
      <c r="M1164" s="229"/>
      <c r="N1164" s="232"/>
    </row>
    <row r="1165" hidden="1" spans="1:14">
      <c r="A1165" s="235"/>
      <c r="B1165" s="230" t="s">
        <v>1042</v>
      </c>
      <c r="C1165" s="229">
        <v>0.34</v>
      </c>
      <c r="D1165" s="229">
        <v>0.34</v>
      </c>
      <c r="E1165" s="229">
        <v>0.34</v>
      </c>
      <c r="F1165" s="229"/>
      <c r="G1165" s="229"/>
      <c r="H1165" s="229"/>
      <c r="I1165" s="229"/>
      <c r="J1165" s="229"/>
      <c r="K1165" s="229"/>
      <c r="L1165" s="229"/>
      <c r="M1165" s="229"/>
      <c r="N1165" s="232"/>
    </row>
    <row r="1166" hidden="1" spans="1:14">
      <c r="A1166" s="235"/>
      <c r="B1166" s="230" t="s">
        <v>1038</v>
      </c>
      <c r="C1166" s="229">
        <v>0.65</v>
      </c>
      <c r="D1166" s="229">
        <v>0.65</v>
      </c>
      <c r="E1166" s="229">
        <v>0.65</v>
      </c>
      <c r="F1166" s="229"/>
      <c r="G1166" s="229"/>
      <c r="H1166" s="229"/>
      <c r="I1166" s="229"/>
      <c r="J1166" s="229"/>
      <c r="K1166" s="229"/>
      <c r="L1166" s="229"/>
      <c r="M1166" s="229"/>
      <c r="N1166" s="232"/>
    </row>
    <row r="1167" hidden="1" spans="1:14">
      <c r="A1167" s="235"/>
      <c r="B1167" s="230" t="s">
        <v>1031</v>
      </c>
      <c r="C1167" s="229">
        <v>10.716</v>
      </c>
      <c r="D1167" s="229">
        <v>10.716</v>
      </c>
      <c r="E1167" s="229">
        <v>10.716</v>
      </c>
      <c r="F1167" s="229"/>
      <c r="G1167" s="229"/>
      <c r="H1167" s="229"/>
      <c r="I1167" s="229"/>
      <c r="J1167" s="229"/>
      <c r="K1167" s="229"/>
      <c r="L1167" s="229"/>
      <c r="M1167" s="229"/>
      <c r="N1167" s="232"/>
    </row>
    <row r="1168" hidden="1" spans="1:14">
      <c r="A1168" s="235"/>
      <c r="B1168" s="230" t="s">
        <v>1027</v>
      </c>
      <c r="C1168" s="229">
        <v>6</v>
      </c>
      <c r="D1168" s="229">
        <v>6</v>
      </c>
      <c r="E1168" s="229">
        <v>6</v>
      </c>
      <c r="F1168" s="229"/>
      <c r="G1168" s="229"/>
      <c r="H1168" s="229"/>
      <c r="I1168" s="229"/>
      <c r="J1168" s="229"/>
      <c r="K1168" s="229"/>
      <c r="L1168" s="229"/>
      <c r="M1168" s="229"/>
      <c r="N1168" s="232"/>
    </row>
    <row r="1169" hidden="1" spans="1:14">
      <c r="A1169" s="235"/>
      <c r="B1169" s="230" t="s">
        <v>1035</v>
      </c>
      <c r="C1169" s="229">
        <v>1.98</v>
      </c>
      <c r="D1169" s="229">
        <v>1.98</v>
      </c>
      <c r="E1169" s="229">
        <v>1.98</v>
      </c>
      <c r="F1169" s="229"/>
      <c r="G1169" s="229"/>
      <c r="H1169" s="229"/>
      <c r="I1169" s="229"/>
      <c r="J1169" s="229"/>
      <c r="K1169" s="229"/>
      <c r="L1169" s="229"/>
      <c r="M1169" s="229"/>
      <c r="N1169" s="232"/>
    </row>
    <row r="1170" hidden="1" spans="1:14">
      <c r="A1170" s="235"/>
      <c r="B1170" s="230" t="s">
        <v>1037</v>
      </c>
      <c r="C1170" s="229">
        <v>1.59891</v>
      </c>
      <c r="D1170" s="229">
        <v>1.59891</v>
      </c>
      <c r="E1170" s="229">
        <v>1.59891</v>
      </c>
      <c r="F1170" s="229"/>
      <c r="G1170" s="229"/>
      <c r="H1170" s="229"/>
      <c r="I1170" s="229"/>
      <c r="J1170" s="229"/>
      <c r="K1170" s="229"/>
      <c r="L1170" s="229"/>
      <c r="M1170" s="229"/>
      <c r="N1170" s="232"/>
    </row>
    <row r="1171" hidden="1" spans="1:14">
      <c r="A1171" s="235"/>
      <c r="B1171" s="230" t="s">
        <v>1028</v>
      </c>
      <c r="C1171" s="229">
        <v>63.9564</v>
      </c>
      <c r="D1171" s="229">
        <v>63.9564</v>
      </c>
      <c r="E1171" s="229">
        <v>63.9564</v>
      </c>
      <c r="F1171" s="229"/>
      <c r="G1171" s="229"/>
      <c r="H1171" s="229"/>
      <c r="I1171" s="229"/>
      <c r="J1171" s="229"/>
      <c r="K1171" s="229"/>
      <c r="L1171" s="229"/>
      <c r="M1171" s="229"/>
      <c r="N1171" s="232"/>
    </row>
    <row r="1172" hidden="1" spans="1:14">
      <c r="A1172" s="235"/>
      <c r="B1172" s="230" t="s">
        <v>1036</v>
      </c>
      <c r="C1172" s="229">
        <v>37.032072</v>
      </c>
      <c r="D1172" s="229">
        <v>37.032072</v>
      </c>
      <c r="E1172" s="229">
        <v>37.032072</v>
      </c>
      <c r="F1172" s="229"/>
      <c r="G1172" s="229"/>
      <c r="H1172" s="229"/>
      <c r="I1172" s="229"/>
      <c r="J1172" s="229"/>
      <c r="K1172" s="229"/>
      <c r="L1172" s="229"/>
      <c r="M1172" s="229"/>
      <c r="N1172" s="232"/>
    </row>
    <row r="1173" spans="1:14">
      <c r="A1173" s="227">
        <v>505002</v>
      </c>
      <c r="B1173" s="231" t="s">
        <v>735</v>
      </c>
      <c r="C1173" s="229">
        <v>464.215227</v>
      </c>
      <c r="D1173" s="229">
        <v>464.215227</v>
      </c>
      <c r="E1173" s="229">
        <v>464.215227</v>
      </c>
      <c r="F1173" s="229"/>
      <c r="G1173" s="229"/>
      <c r="H1173" s="229"/>
      <c r="I1173" s="229"/>
      <c r="J1173" s="229"/>
      <c r="K1173" s="229"/>
      <c r="L1173" s="229"/>
      <c r="M1173" s="229"/>
      <c r="N1173" s="233" t="s">
        <v>578</v>
      </c>
    </row>
    <row r="1174" hidden="1" spans="1:14">
      <c r="A1174" s="235"/>
      <c r="B1174" s="230" t="s">
        <v>1032</v>
      </c>
      <c r="C1174" s="229">
        <v>147.0348</v>
      </c>
      <c r="D1174" s="229">
        <v>147.0348</v>
      </c>
      <c r="E1174" s="229">
        <v>147.0348</v>
      </c>
      <c r="F1174" s="229"/>
      <c r="G1174" s="229"/>
      <c r="H1174" s="229"/>
      <c r="I1174" s="229"/>
      <c r="J1174" s="229"/>
      <c r="K1174" s="229"/>
      <c r="L1174" s="229"/>
      <c r="M1174" s="229"/>
      <c r="N1174" s="232"/>
    </row>
    <row r="1175" hidden="1" spans="1:14">
      <c r="A1175" s="235"/>
      <c r="B1175" s="230" t="s">
        <v>1027</v>
      </c>
      <c r="C1175" s="229">
        <v>4</v>
      </c>
      <c r="D1175" s="229">
        <v>4</v>
      </c>
      <c r="E1175" s="229">
        <v>4</v>
      </c>
      <c r="F1175" s="229"/>
      <c r="G1175" s="229"/>
      <c r="H1175" s="229"/>
      <c r="I1175" s="229"/>
      <c r="J1175" s="229"/>
      <c r="K1175" s="229"/>
      <c r="L1175" s="229"/>
      <c r="M1175" s="229"/>
      <c r="N1175" s="232"/>
    </row>
    <row r="1176" hidden="1" spans="1:14">
      <c r="A1176" s="235"/>
      <c r="B1176" s="230" t="s">
        <v>1038</v>
      </c>
      <c r="C1176" s="229">
        <v>1.45</v>
      </c>
      <c r="D1176" s="229">
        <v>1.45</v>
      </c>
      <c r="E1176" s="229">
        <v>1.45</v>
      </c>
      <c r="F1176" s="229"/>
      <c r="G1176" s="229"/>
      <c r="H1176" s="229"/>
      <c r="I1176" s="229"/>
      <c r="J1176" s="229"/>
      <c r="K1176" s="229"/>
      <c r="L1176" s="229"/>
      <c r="M1176" s="229"/>
      <c r="N1176" s="232"/>
    </row>
    <row r="1177" hidden="1" spans="1:14">
      <c r="A1177" s="235"/>
      <c r="B1177" s="230" t="s">
        <v>1036</v>
      </c>
      <c r="C1177" s="229">
        <v>17.644176</v>
      </c>
      <c r="D1177" s="229">
        <v>17.644176</v>
      </c>
      <c r="E1177" s="229">
        <v>17.644176</v>
      </c>
      <c r="F1177" s="229"/>
      <c r="G1177" s="229"/>
      <c r="H1177" s="229"/>
      <c r="I1177" s="229"/>
      <c r="J1177" s="229"/>
      <c r="K1177" s="229"/>
      <c r="L1177" s="229"/>
      <c r="M1177" s="229"/>
      <c r="N1177" s="232"/>
    </row>
    <row r="1178" hidden="1" spans="1:14">
      <c r="A1178" s="235"/>
      <c r="B1178" s="230" t="s">
        <v>1037</v>
      </c>
      <c r="C1178" s="229">
        <v>4.4835</v>
      </c>
      <c r="D1178" s="229">
        <v>4.4835</v>
      </c>
      <c r="E1178" s="229">
        <v>4.4835</v>
      </c>
      <c r="F1178" s="229"/>
      <c r="G1178" s="229"/>
      <c r="H1178" s="229"/>
      <c r="I1178" s="229"/>
      <c r="J1178" s="229"/>
      <c r="K1178" s="229"/>
      <c r="L1178" s="229"/>
      <c r="M1178" s="229"/>
      <c r="N1178" s="232"/>
    </row>
    <row r="1179" hidden="1" spans="1:14">
      <c r="A1179" s="235"/>
      <c r="B1179" s="230" t="s">
        <v>1034</v>
      </c>
      <c r="C1179" s="229">
        <v>3.042</v>
      </c>
      <c r="D1179" s="229">
        <v>3.042</v>
      </c>
      <c r="E1179" s="229">
        <v>3.042</v>
      </c>
      <c r="F1179" s="229"/>
      <c r="G1179" s="229"/>
      <c r="H1179" s="229"/>
      <c r="I1179" s="229"/>
      <c r="J1179" s="229"/>
      <c r="K1179" s="229"/>
      <c r="L1179" s="229"/>
      <c r="M1179" s="229"/>
      <c r="N1179" s="232"/>
    </row>
    <row r="1180" hidden="1" spans="1:14">
      <c r="A1180" s="235"/>
      <c r="B1180" s="230" t="s">
        <v>1028</v>
      </c>
      <c r="C1180" s="229">
        <v>179.34</v>
      </c>
      <c r="D1180" s="229">
        <v>179.34</v>
      </c>
      <c r="E1180" s="229">
        <v>179.34</v>
      </c>
      <c r="F1180" s="229"/>
      <c r="G1180" s="229"/>
      <c r="H1180" s="229"/>
      <c r="I1180" s="229"/>
      <c r="J1180" s="229"/>
      <c r="K1180" s="229"/>
      <c r="L1180" s="229"/>
      <c r="M1180" s="229"/>
      <c r="N1180" s="232"/>
    </row>
    <row r="1181" hidden="1" spans="1:14">
      <c r="A1181" s="235"/>
      <c r="B1181" s="230" t="s">
        <v>1029</v>
      </c>
      <c r="C1181" s="229">
        <v>13.42</v>
      </c>
      <c r="D1181" s="229">
        <v>13.42</v>
      </c>
      <c r="E1181" s="229">
        <v>13.42</v>
      </c>
      <c r="F1181" s="229"/>
      <c r="G1181" s="229"/>
      <c r="H1181" s="229"/>
      <c r="I1181" s="229"/>
      <c r="J1181" s="229"/>
      <c r="K1181" s="229"/>
      <c r="L1181" s="229"/>
      <c r="M1181" s="229"/>
      <c r="N1181" s="232"/>
    </row>
    <row r="1182" hidden="1" spans="1:14">
      <c r="A1182" s="235"/>
      <c r="B1182" s="230" t="s">
        <v>1031</v>
      </c>
      <c r="C1182" s="229">
        <v>3.3</v>
      </c>
      <c r="D1182" s="229">
        <v>3.3</v>
      </c>
      <c r="E1182" s="229">
        <v>3.3</v>
      </c>
      <c r="F1182" s="229"/>
      <c r="G1182" s="229"/>
      <c r="H1182" s="229"/>
      <c r="I1182" s="229"/>
      <c r="J1182" s="229"/>
      <c r="K1182" s="229"/>
      <c r="L1182" s="229"/>
      <c r="M1182" s="229"/>
      <c r="N1182" s="232"/>
    </row>
    <row r="1183" hidden="1" spans="1:14">
      <c r="A1183" s="235"/>
      <c r="B1183" s="230" t="s">
        <v>1039</v>
      </c>
      <c r="C1183" s="229">
        <v>2.940696</v>
      </c>
      <c r="D1183" s="229">
        <v>2.940696</v>
      </c>
      <c r="E1183" s="229">
        <v>2.940696</v>
      </c>
      <c r="F1183" s="229"/>
      <c r="G1183" s="229"/>
      <c r="H1183" s="229"/>
      <c r="I1183" s="229"/>
      <c r="J1183" s="229"/>
      <c r="K1183" s="229"/>
      <c r="L1183" s="229"/>
      <c r="M1183" s="229"/>
      <c r="N1183" s="232"/>
    </row>
    <row r="1184" hidden="1" spans="1:14">
      <c r="A1184" s="235"/>
      <c r="B1184" s="230" t="s">
        <v>1035</v>
      </c>
      <c r="C1184" s="229">
        <v>6.08</v>
      </c>
      <c r="D1184" s="229">
        <v>6.08</v>
      </c>
      <c r="E1184" s="229">
        <v>6.08</v>
      </c>
      <c r="F1184" s="229"/>
      <c r="G1184" s="229"/>
      <c r="H1184" s="229"/>
      <c r="I1184" s="229"/>
      <c r="J1184" s="229"/>
      <c r="K1184" s="229"/>
      <c r="L1184" s="229"/>
      <c r="M1184" s="229"/>
      <c r="N1184" s="232"/>
    </row>
    <row r="1185" hidden="1" spans="1:14">
      <c r="A1185" s="235"/>
      <c r="B1185" s="230" t="s">
        <v>1033</v>
      </c>
      <c r="C1185" s="229">
        <v>81.480055</v>
      </c>
      <c r="D1185" s="229">
        <v>81.480055</v>
      </c>
      <c r="E1185" s="229">
        <v>81.480055</v>
      </c>
      <c r="F1185" s="229"/>
      <c r="G1185" s="229"/>
      <c r="H1185" s="229"/>
      <c r="I1185" s="229"/>
      <c r="J1185" s="229"/>
      <c r="K1185" s="229"/>
      <c r="L1185" s="229"/>
      <c r="M1185" s="229"/>
      <c r="N1185" s="232"/>
    </row>
    <row r="1186" spans="1:14">
      <c r="A1186" s="225"/>
      <c r="B1186" s="226" t="s">
        <v>736</v>
      </c>
      <c r="C1186" s="205">
        <v>143108.765223</v>
      </c>
      <c r="D1186" s="205">
        <v>139240.765223</v>
      </c>
      <c r="E1186" s="205">
        <v>137033.068823</v>
      </c>
      <c r="F1186" s="205">
        <v>2207.6964</v>
      </c>
      <c r="G1186" s="205">
        <f>SUMIF($A:$A,"60????",G:G)</f>
        <v>3868</v>
      </c>
      <c r="H1186" s="229"/>
      <c r="I1186" s="229"/>
      <c r="J1186" s="229"/>
      <c r="K1186" s="229"/>
      <c r="L1186" s="229"/>
      <c r="M1186" s="229"/>
      <c r="N1186" s="232" t="s">
        <v>578</v>
      </c>
    </row>
    <row r="1187" spans="1:14">
      <c r="A1187" s="227" t="s">
        <v>1087</v>
      </c>
      <c r="B1187" s="231" t="s">
        <v>737</v>
      </c>
      <c r="C1187" s="229">
        <v>383.315409</v>
      </c>
      <c r="D1187" s="229">
        <v>383.315409</v>
      </c>
      <c r="E1187" s="229">
        <v>383.315409</v>
      </c>
      <c r="F1187" s="229"/>
      <c r="G1187" s="229"/>
      <c r="H1187" s="229"/>
      <c r="I1187" s="229"/>
      <c r="J1187" s="229"/>
      <c r="K1187" s="229"/>
      <c r="L1187" s="229"/>
      <c r="M1187" s="229"/>
      <c r="N1187" s="233" t="s">
        <v>578</v>
      </c>
    </row>
    <row r="1188" hidden="1" spans="1:14">
      <c r="A1188" s="235"/>
      <c r="B1188" s="230" t="s">
        <v>1037</v>
      </c>
      <c r="C1188" s="229">
        <v>3.41367</v>
      </c>
      <c r="D1188" s="229">
        <v>3.41367</v>
      </c>
      <c r="E1188" s="229">
        <v>3.41367</v>
      </c>
      <c r="F1188" s="229"/>
      <c r="G1188" s="229"/>
      <c r="H1188" s="229"/>
      <c r="I1188" s="229"/>
      <c r="J1188" s="229"/>
      <c r="K1188" s="229"/>
      <c r="L1188" s="229"/>
      <c r="M1188" s="229"/>
      <c r="N1188" s="232"/>
    </row>
    <row r="1189" hidden="1" spans="1:14">
      <c r="A1189" s="235"/>
      <c r="B1189" s="230" t="s">
        <v>1031</v>
      </c>
      <c r="C1189" s="229">
        <v>10.548</v>
      </c>
      <c r="D1189" s="229">
        <v>10.548</v>
      </c>
      <c r="E1189" s="229">
        <v>10.548</v>
      </c>
      <c r="F1189" s="229"/>
      <c r="G1189" s="229"/>
      <c r="H1189" s="229"/>
      <c r="I1189" s="229"/>
      <c r="J1189" s="229"/>
      <c r="K1189" s="229"/>
      <c r="L1189" s="229"/>
      <c r="M1189" s="229"/>
      <c r="N1189" s="232"/>
    </row>
    <row r="1190" hidden="1" spans="1:14">
      <c r="A1190" s="235"/>
      <c r="B1190" s="230" t="s">
        <v>1033</v>
      </c>
      <c r="C1190" s="229">
        <v>63.806329</v>
      </c>
      <c r="D1190" s="229">
        <v>63.806329</v>
      </c>
      <c r="E1190" s="229">
        <v>63.806329</v>
      </c>
      <c r="F1190" s="229"/>
      <c r="G1190" s="229"/>
      <c r="H1190" s="229"/>
      <c r="I1190" s="229"/>
      <c r="J1190" s="229"/>
      <c r="K1190" s="229"/>
      <c r="L1190" s="229"/>
      <c r="M1190" s="229"/>
      <c r="N1190" s="232"/>
    </row>
    <row r="1191" hidden="1" spans="1:14">
      <c r="A1191" s="235"/>
      <c r="B1191" s="230" t="s">
        <v>1036</v>
      </c>
      <c r="C1191" s="229">
        <v>23.25918</v>
      </c>
      <c r="D1191" s="229">
        <v>23.25918</v>
      </c>
      <c r="E1191" s="229">
        <v>23.25918</v>
      </c>
      <c r="F1191" s="229"/>
      <c r="G1191" s="229"/>
      <c r="H1191" s="229"/>
      <c r="I1191" s="229"/>
      <c r="J1191" s="229"/>
      <c r="K1191" s="229"/>
      <c r="L1191" s="229"/>
      <c r="M1191" s="229"/>
      <c r="N1191" s="232"/>
    </row>
    <row r="1192" hidden="1" spans="1:14">
      <c r="A1192" s="235"/>
      <c r="B1192" s="230" t="s">
        <v>1038</v>
      </c>
      <c r="C1192" s="229">
        <v>0.5</v>
      </c>
      <c r="D1192" s="229">
        <v>0.5</v>
      </c>
      <c r="E1192" s="229">
        <v>0.5</v>
      </c>
      <c r="F1192" s="229"/>
      <c r="G1192" s="229"/>
      <c r="H1192" s="229"/>
      <c r="I1192" s="229"/>
      <c r="J1192" s="229"/>
      <c r="K1192" s="229"/>
      <c r="L1192" s="229"/>
      <c r="M1192" s="229"/>
      <c r="N1192" s="232"/>
    </row>
    <row r="1193" hidden="1" spans="1:14">
      <c r="A1193" s="235"/>
      <c r="B1193" s="230" t="s">
        <v>1032</v>
      </c>
      <c r="C1193" s="229">
        <v>193.8265</v>
      </c>
      <c r="D1193" s="229">
        <v>193.8265</v>
      </c>
      <c r="E1193" s="229">
        <v>193.8265</v>
      </c>
      <c r="F1193" s="229"/>
      <c r="G1193" s="229"/>
      <c r="H1193" s="229"/>
      <c r="I1193" s="229"/>
      <c r="J1193" s="229"/>
      <c r="K1193" s="229"/>
      <c r="L1193" s="229"/>
      <c r="M1193" s="229"/>
      <c r="N1193" s="232"/>
    </row>
    <row r="1194" hidden="1" spans="1:14">
      <c r="A1194" s="235"/>
      <c r="B1194" s="230" t="s">
        <v>1028</v>
      </c>
      <c r="C1194" s="229">
        <v>56.9052</v>
      </c>
      <c r="D1194" s="229">
        <v>56.9052</v>
      </c>
      <c r="E1194" s="229">
        <v>56.9052</v>
      </c>
      <c r="F1194" s="229"/>
      <c r="G1194" s="229"/>
      <c r="H1194" s="229"/>
      <c r="I1194" s="229"/>
      <c r="J1194" s="229"/>
      <c r="K1194" s="229"/>
      <c r="L1194" s="229"/>
      <c r="M1194" s="229"/>
      <c r="N1194" s="232"/>
    </row>
    <row r="1195" hidden="1" spans="1:14">
      <c r="A1195" s="235"/>
      <c r="B1195" s="230" t="s">
        <v>1039</v>
      </c>
      <c r="C1195" s="229">
        <v>3.87653</v>
      </c>
      <c r="D1195" s="229">
        <v>3.87653</v>
      </c>
      <c r="E1195" s="229">
        <v>3.87653</v>
      </c>
      <c r="F1195" s="229"/>
      <c r="G1195" s="229"/>
      <c r="H1195" s="229"/>
      <c r="I1195" s="229"/>
      <c r="J1195" s="229"/>
      <c r="K1195" s="229"/>
      <c r="L1195" s="229"/>
      <c r="M1195" s="229"/>
      <c r="N1195" s="232"/>
    </row>
    <row r="1196" hidden="1" spans="1:14">
      <c r="A1196" s="235"/>
      <c r="B1196" s="230" t="s">
        <v>1029</v>
      </c>
      <c r="C1196" s="229">
        <v>19.52</v>
      </c>
      <c r="D1196" s="229">
        <v>19.52</v>
      </c>
      <c r="E1196" s="229">
        <v>19.52</v>
      </c>
      <c r="F1196" s="229"/>
      <c r="G1196" s="229"/>
      <c r="H1196" s="229"/>
      <c r="I1196" s="229"/>
      <c r="J1196" s="229"/>
      <c r="K1196" s="229"/>
      <c r="L1196" s="229"/>
      <c r="M1196" s="229"/>
      <c r="N1196" s="232"/>
    </row>
    <row r="1197" hidden="1" spans="1:14">
      <c r="A1197" s="235"/>
      <c r="B1197" s="230" t="s">
        <v>1035</v>
      </c>
      <c r="C1197" s="229">
        <v>1.66</v>
      </c>
      <c r="D1197" s="229">
        <v>1.66</v>
      </c>
      <c r="E1197" s="229">
        <v>1.66</v>
      </c>
      <c r="F1197" s="229"/>
      <c r="G1197" s="229"/>
      <c r="H1197" s="229"/>
      <c r="I1197" s="229"/>
      <c r="J1197" s="229"/>
      <c r="K1197" s="229"/>
      <c r="L1197" s="229"/>
      <c r="M1197" s="229"/>
      <c r="N1197" s="232"/>
    </row>
    <row r="1198" hidden="1" spans="1:14">
      <c r="A1198" s="235"/>
      <c r="B1198" s="230" t="s">
        <v>1027</v>
      </c>
      <c r="C1198" s="229">
        <v>6</v>
      </c>
      <c r="D1198" s="229">
        <v>6</v>
      </c>
      <c r="E1198" s="229">
        <v>6</v>
      </c>
      <c r="F1198" s="229"/>
      <c r="G1198" s="229"/>
      <c r="H1198" s="229"/>
      <c r="I1198" s="229"/>
      <c r="J1198" s="229"/>
      <c r="K1198" s="229"/>
      <c r="L1198" s="229"/>
      <c r="M1198" s="229"/>
      <c r="N1198" s="232"/>
    </row>
    <row r="1199" spans="1:14">
      <c r="A1199" s="227" t="s">
        <v>1088</v>
      </c>
      <c r="B1199" s="231" t="s">
        <v>738</v>
      </c>
      <c r="C1199" s="229">
        <v>521.057169</v>
      </c>
      <c r="D1199" s="229">
        <v>521.057169</v>
      </c>
      <c r="E1199" s="229">
        <v>521.057169</v>
      </c>
      <c r="F1199" s="229"/>
      <c r="G1199" s="229"/>
      <c r="H1199" s="229"/>
      <c r="I1199" s="229"/>
      <c r="J1199" s="229"/>
      <c r="K1199" s="229"/>
      <c r="L1199" s="229"/>
      <c r="M1199" s="229"/>
      <c r="N1199" s="233" t="s">
        <v>578</v>
      </c>
    </row>
    <row r="1200" hidden="1" spans="1:14">
      <c r="A1200" s="235"/>
      <c r="B1200" s="230" t="s">
        <v>1030</v>
      </c>
      <c r="C1200" s="229">
        <v>4</v>
      </c>
      <c r="D1200" s="229">
        <v>4</v>
      </c>
      <c r="E1200" s="229">
        <v>4</v>
      </c>
      <c r="F1200" s="229"/>
      <c r="G1200" s="229"/>
      <c r="H1200" s="229"/>
      <c r="I1200" s="229"/>
      <c r="J1200" s="229"/>
      <c r="K1200" s="229"/>
      <c r="L1200" s="229"/>
      <c r="M1200" s="229"/>
      <c r="N1200" s="232"/>
    </row>
    <row r="1201" hidden="1" spans="1:14">
      <c r="A1201" s="235"/>
      <c r="B1201" s="230" t="s">
        <v>1029</v>
      </c>
      <c r="C1201" s="229">
        <v>21.594</v>
      </c>
      <c r="D1201" s="229">
        <v>21.594</v>
      </c>
      <c r="E1201" s="229">
        <v>21.594</v>
      </c>
      <c r="F1201" s="229"/>
      <c r="G1201" s="229"/>
      <c r="H1201" s="229"/>
      <c r="I1201" s="229"/>
      <c r="J1201" s="229"/>
      <c r="K1201" s="229"/>
      <c r="L1201" s="229"/>
      <c r="M1201" s="229"/>
      <c r="N1201" s="232"/>
    </row>
    <row r="1202" hidden="1" spans="1:14">
      <c r="A1202" s="235"/>
      <c r="B1202" s="230" t="s">
        <v>1035</v>
      </c>
      <c r="C1202" s="229">
        <v>3.28</v>
      </c>
      <c r="D1202" s="229">
        <v>3.28</v>
      </c>
      <c r="E1202" s="229">
        <v>3.28</v>
      </c>
      <c r="F1202" s="229"/>
      <c r="G1202" s="229"/>
      <c r="H1202" s="229"/>
      <c r="I1202" s="229"/>
      <c r="J1202" s="229"/>
      <c r="K1202" s="229"/>
      <c r="L1202" s="229"/>
      <c r="M1202" s="229"/>
      <c r="N1202" s="232"/>
    </row>
    <row r="1203" hidden="1" spans="1:14">
      <c r="A1203" s="235"/>
      <c r="B1203" s="230" t="s">
        <v>1039</v>
      </c>
      <c r="C1203" s="229">
        <v>4.955742</v>
      </c>
      <c r="D1203" s="229">
        <v>4.955742</v>
      </c>
      <c r="E1203" s="229">
        <v>4.955742</v>
      </c>
      <c r="F1203" s="229"/>
      <c r="G1203" s="229"/>
      <c r="H1203" s="229"/>
      <c r="I1203" s="229"/>
      <c r="J1203" s="229"/>
      <c r="K1203" s="229"/>
      <c r="L1203" s="229"/>
      <c r="M1203" s="229"/>
      <c r="N1203" s="232"/>
    </row>
    <row r="1204" hidden="1" spans="1:14">
      <c r="A1204" s="235"/>
      <c r="B1204" s="230" t="s">
        <v>1028</v>
      </c>
      <c r="C1204" s="229">
        <v>98.3628</v>
      </c>
      <c r="D1204" s="229">
        <v>98.3628</v>
      </c>
      <c r="E1204" s="229">
        <v>98.3628</v>
      </c>
      <c r="F1204" s="229"/>
      <c r="G1204" s="229"/>
      <c r="H1204" s="229"/>
      <c r="I1204" s="229"/>
      <c r="J1204" s="229"/>
      <c r="K1204" s="229"/>
      <c r="L1204" s="229"/>
      <c r="M1204" s="229"/>
      <c r="N1204" s="232"/>
    </row>
    <row r="1205" hidden="1" spans="1:14">
      <c r="A1205" s="235"/>
      <c r="B1205" s="230" t="s">
        <v>1031</v>
      </c>
      <c r="C1205" s="229">
        <v>12.444</v>
      </c>
      <c r="D1205" s="229">
        <v>12.444</v>
      </c>
      <c r="E1205" s="229">
        <v>12.444</v>
      </c>
      <c r="F1205" s="229"/>
      <c r="G1205" s="229"/>
      <c r="H1205" s="229"/>
      <c r="I1205" s="229"/>
      <c r="J1205" s="229"/>
      <c r="K1205" s="229"/>
      <c r="L1205" s="229"/>
      <c r="M1205" s="229"/>
      <c r="N1205" s="232"/>
    </row>
    <row r="1206" hidden="1" spans="1:14">
      <c r="A1206" s="235"/>
      <c r="B1206" s="230" t="s">
        <v>1036</v>
      </c>
      <c r="C1206" s="229">
        <v>29.734452</v>
      </c>
      <c r="D1206" s="229">
        <v>29.734452</v>
      </c>
      <c r="E1206" s="229">
        <v>29.734452</v>
      </c>
      <c r="F1206" s="229"/>
      <c r="G1206" s="229"/>
      <c r="H1206" s="229"/>
      <c r="I1206" s="229"/>
      <c r="J1206" s="229"/>
      <c r="K1206" s="229"/>
      <c r="L1206" s="229"/>
      <c r="M1206" s="229"/>
      <c r="N1206" s="232"/>
    </row>
    <row r="1207" hidden="1" spans="1:14">
      <c r="A1207" s="235"/>
      <c r="B1207" s="230" t="s">
        <v>1038</v>
      </c>
      <c r="C1207" s="229">
        <v>0.82</v>
      </c>
      <c r="D1207" s="229">
        <v>0.82</v>
      </c>
      <c r="E1207" s="229">
        <v>0.82</v>
      </c>
      <c r="F1207" s="229"/>
      <c r="G1207" s="229"/>
      <c r="H1207" s="229"/>
      <c r="I1207" s="229"/>
      <c r="J1207" s="229"/>
      <c r="K1207" s="229"/>
      <c r="L1207" s="229"/>
      <c r="M1207" s="229"/>
      <c r="N1207" s="232"/>
    </row>
    <row r="1208" hidden="1" spans="1:14">
      <c r="A1208" s="235"/>
      <c r="B1208" s="230" t="s">
        <v>1033</v>
      </c>
      <c r="C1208" s="229">
        <v>86.606005</v>
      </c>
      <c r="D1208" s="229">
        <v>86.606005</v>
      </c>
      <c r="E1208" s="229">
        <v>86.606005</v>
      </c>
      <c r="F1208" s="229"/>
      <c r="G1208" s="229"/>
      <c r="H1208" s="229"/>
      <c r="I1208" s="229"/>
      <c r="J1208" s="229"/>
      <c r="K1208" s="229"/>
      <c r="L1208" s="229"/>
      <c r="M1208" s="229"/>
      <c r="N1208" s="232"/>
    </row>
    <row r="1209" hidden="1" spans="1:14">
      <c r="A1209" s="235"/>
      <c r="B1209" s="230" t="s">
        <v>1032</v>
      </c>
      <c r="C1209" s="229">
        <v>247.7871</v>
      </c>
      <c r="D1209" s="229">
        <v>247.7871</v>
      </c>
      <c r="E1209" s="229">
        <v>247.7871</v>
      </c>
      <c r="F1209" s="229"/>
      <c r="G1209" s="229"/>
      <c r="H1209" s="229"/>
      <c r="I1209" s="229"/>
      <c r="J1209" s="229"/>
      <c r="K1209" s="229"/>
      <c r="L1209" s="229"/>
      <c r="M1209" s="229"/>
      <c r="N1209" s="232"/>
    </row>
    <row r="1210" hidden="1" spans="1:14">
      <c r="A1210" s="235"/>
      <c r="B1210" s="230" t="s">
        <v>1034</v>
      </c>
      <c r="C1210" s="229">
        <v>1.014</v>
      </c>
      <c r="D1210" s="229">
        <v>1.014</v>
      </c>
      <c r="E1210" s="229">
        <v>1.014</v>
      </c>
      <c r="F1210" s="229"/>
      <c r="G1210" s="229"/>
      <c r="H1210" s="229"/>
      <c r="I1210" s="229"/>
      <c r="J1210" s="229"/>
      <c r="K1210" s="229"/>
      <c r="L1210" s="229"/>
      <c r="M1210" s="229"/>
      <c r="N1210" s="232"/>
    </row>
    <row r="1211" hidden="1" spans="1:14">
      <c r="A1211" s="235"/>
      <c r="B1211" s="230" t="s">
        <v>1037</v>
      </c>
      <c r="C1211" s="229">
        <v>2.45907</v>
      </c>
      <c r="D1211" s="229">
        <v>2.45907</v>
      </c>
      <c r="E1211" s="229">
        <v>2.45907</v>
      </c>
      <c r="F1211" s="229"/>
      <c r="G1211" s="229"/>
      <c r="H1211" s="229"/>
      <c r="I1211" s="229"/>
      <c r="J1211" s="229"/>
      <c r="K1211" s="229"/>
      <c r="L1211" s="229"/>
      <c r="M1211" s="229"/>
      <c r="N1211" s="232"/>
    </row>
    <row r="1212" hidden="1" spans="1:14">
      <c r="A1212" s="235"/>
      <c r="B1212" s="230" t="s">
        <v>1027</v>
      </c>
      <c r="C1212" s="229">
        <v>8</v>
      </c>
      <c r="D1212" s="229">
        <v>8</v>
      </c>
      <c r="E1212" s="229">
        <v>8</v>
      </c>
      <c r="F1212" s="229"/>
      <c r="G1212" s="229"/>
      <c r="H1212" s="229"/>
      <c r="I1212" s="229"/>
      <c r="J1212" s="229"/>
      <c r="K1212" s="229"/>
      <c r="L1212" s="229"/>
      <c r="M1212" s="229"/>
      <c r="N1212" s="232"/>
    </row>
    <row r="1213" spans="1:14">
      <c r="A1213" s="227" t="s">
        <v>1089</v>
      </c>
      <c r="B1213" s="231" t="s">
        <v>1090</v>
      </c>
      <c r="C1213" s="229">
        <v>359.358238</v>
      </c>
      <c r="D1213" s="229">
        <v>359.358238</v>
      </c>
      <c r="E1213" s="229">
        <v>359.358238</v>
      </c>
      <c r="F1213" s="229"/>
      <c r="G1213" s="229"/>
      <c r="H1213" s="229"/>
      <c r="I1213" s="229"/>
      <c r="J1213" s="229"/>
      <c r="K1213" s="229"/>
      <c r="L1213" s="229"/>
      <c r="M1213" s="229"/>
      <c r="N1213" s="233" t="s">
        <v>578</v>
      </c>
    </row>
    <row r="1214" hidden="1" spans="1:14">
      <c r="A1214" s="235"/>
      <c r="B1214" s="230" t="s">
        <v>1035</v>
      </c>
      <c r="C1214" s="229">
        <v>0.4</v>
      </c>
      <c r="D1214" s="229">
        <v>0.4</v>
      </c>
      <c r="E1214" s="229">
        <v>0.4</v>
      </c>
      <c r="F1214" s="229"/>
      <c r="G1214" s="229"/>
      <c r="H1214" s="229"/>
      <c r="I1214" s="229"/>
      <c r="J1214" s="229"/>
      <c r="K1214" s="229"/>
      <c r="L1214" s="229"/>
      <c r="M1214" s="229"/>
      <c r="N1214" s="232"/>
    </row>
    <row r="1215" hidden="1" spans="1:14">
      <c r="A1215" s="235"/>
      <c r="B1215" s="230" t="s">
        <v>1036</v>
      </c>
      <c r="C1215" s="229">
        <v>27.193704</v>
      </c>
      <c r="D1215" s="229">
        <v>27.193704</v>
      </c>
      <c r="E1215" s="229">
        <v>27.193704</v>
      </c>
      <c r="F1215" s="229"/>
      <c r="G1215" s="229"/>
      <c r="H1215" s="229"/>
      <c r="I1215" s="229"/>
      <c r="J1215" s="229"/>
      <c r="K1215" s="229"/>
      <c r="L1215" s="229"/>
      <c r="M1215" s="229"/>
      <c r="N1215" s="232"/>
    </row>
    <row r="1216" hidden="1" spans="1:14">
      <c r="A1216" s="235"/>
      <c r="B1216" s="230" t="s">
        <v>1033</v>
      </c>
      <c r="C1216" s="229">
        <v>64.14805</v>
      </c>
      <c r="D1216" s="229">
        <v>64.14805</v>
      </c>
      <c r="E1216" s="229">
        <v>64.14805</v>
      </c>
      <c r="F1216" s="229"/>
      <c r="G1216" s="229"/>
      <c r="H1216" s="229"/>
      <c r="I1216" s="229"/>
      <c r="J1216" s="229"/>
      <c r="K1216" s="229"/>
      <c r="L1216" s="229"/>
      <c r="M1216" s="229"/>
      <c r="N1216" s="232"/>
    </row>
    <row r="1217" hidden="1" spans="1:14">
      <c r="A1217" s="235"/>
      <c r="B1217" s="230" t="s">
        <v>1032</v>
      </c>
      <c r="C1217" s="229">
        <v>226.6142</v>
      </c>
      <c r="D1217" s="229">
        <v>226.6142</v>
      </c>
      <c r="E1217" s="229">
        <v>226.6142</v>
      </c>
      <c r="F1217" s="229"/>
      <c r="G1217" s="229"/>
      <c r="H1217" s="229"/>
      <c r="I1217" s="229"/>
      <c r="J1217" s="229"/>
      <c r="K1217" s="229"/>
      <c r="L1217" s="229"/>
      <c r="M1217" s="229"/>
      <c r="N1217" s="232"/>
    </row>
    <row r="1218" hidden="1" spans="1:14">
      <c r="A1218" s="235"/>
      <c r="B1218" s="230" t="s">
        <v>1029</v>
      </c>
      <c r="C1218" s="229">
        <v>15.39</v>
      </c>
      <c r="D1218" s="229">
        <v>15.39</v>
      </c>
      <c r="E1218" s="229">
        <v>15.39</v>
      </c>
      <c r="F1218" s="229"/>
      <c r="G1218" s="229"/>
      <c r="H1218" s="229"/>
      <c r="I1218" s="229"/>
      <c r="J1218" s="229"/>
      <c r="K1218" s="229"/>
      <c r="L1218" s="229"/>
      <c r="M1218" s="229"/>
      <c r="N1218" s="232"/>
    </row>
    <row r="1219" hidden="1" spans="1:14">
      <c r="A1219" s="235"/>
      <c r="B1219" s="230" t="s">
        <v>1031</v>
      </c>
      <c r="C1219" s="229">
        <v>5.32</v>
      </c>
      <c r="D1219" s="229">
        <v>5.32</v>
      </c>
      <c r="E1219" s="229">
        <v>5.32</v>
      </c>
      <c r="F1219" s="229"/>
      <c r="G1219" s="229"/>
      <c r="H1219" s="229"/>
      <c r="I1219" s="229"/>
      <c r="J1219" s="229"/>
      <c r="K1219" s="229"/>
      <c r="L1219" s="229"/>
      <c r="M1219" s="229"/>
      <c r="N1219" s="232"/>
    </row>
    <row r="1220" hidden="1" spans="1:14">
      <c r="A1220" s="235"/>
      <c r="B1220" s="230" t="s">
        <v>1027</v>
      </c>
      <c r="C1220" s="229">
        <v>4</v>
      </c>
      <c r="D1220" s="229">
        <v>4</v>
      </c>
      <c r="E1220" s="229">
        <v>4</v>
      </c>
      <c r="F1220" s="229"/>
      <c r="G1220" s="229"/>
      <c r="H1220" s="229"/>
      <c r="I1220" s="229"/>
      <c r="J1220" s="229"/>
      <c r="K1220" s="229"/>
      <c r="L1220" s="229"/>
      <c r="M1220" s="229"/>
      <c r="N1220" s="232"/>
    </row>
    <row r="1221" hidden="1" spans="1:14">
      <c r="A1221" s="235"/>
      <c r="B1221" s="230" t="s">
        <v>1039</v>
      </c>
      <c r="C1221" s="229">
        <v>4.532284</v>
      </c>
      <c r="D1221" s="229">
        <v>4.532284</v>
      </c>
      <c r="E1221" s="229">
        <v>4.532284</v>
      </c>
      <c r="F1221" s="229"/>
      <c r="G1221" s="229"/>
      <c r="H1221" s="229"/>
      <c r="I1221" s="229"/>
      <c r="J1221" s="229"/>
      <c r="K1221" s="229"/>
      <c r="L1221" s="229"/>
      <c r="M1221" s="229"/>
      <c r="N1221" s="232"/>
    </row>
    <row r="1222" hidden="1" spans="1:14">
      <c r="A1222" s="235"/>
      <c r="B1222" s="230" t="s">
        <v>1028</v>
      </c>
      <c r="C1222" s="229">
        <v>11.76</v>
      </c>
      <c r="D1222" s="229">
        <v>11.76</v>
      </c>
      <c r="E1222" s="229">
        <v>11.76</v>
      </c>
      <c r="F1222" s="229"/>
      <c r="G1222" s="229"/>
      <c r="H1222" s="229"/>
      <c r="I1222" s="229"/>
      <c r="J1222" s="229"/>
      <c r="K1222" s="229"/>
      <c r="L1222" s="229"/>
      <c r="M1222" s="229"/>
      <c r="N1222" s="232"/>
    </row>
    <row r="1223" spans="1:14">
      <c r="A1223" s="227" t="s">
        <v>1091</v>
      </c>
      <c r="B1223" s="231" t="s">
        <v>740</v>
      </c>
      <c r="C1223" s="229">
        <v>397.270902</v>
      </c>
      <c r="D1223" s="229">
        <v>397.270902</v>
      </c>
      <c r="E1223" s="229">
        <v>397.270902</v>
      </c>
      <c r="F1223" s="229"/>
      <c r="G1223" s="229"/>
      <c r="H1223" s="229"/>
      <c r="I1223" s="229"/>
      <c r="J1223" s="229"/>
      <c r="K1223" s="229"/>
      <c r="L1223" s="229"/>
      <c r="M1223" s="229"/>
      <c r="N1223" s="233" t="s">
        <v>578</v>
      </c>
    </row>
    <row r="1224" hidden="1" spans="1:14">
      <c r="A1224" s="235"/>
      <c r="B1224" s="230" t="s">
        <v>1032</v>
      </c>
      <c r="C1224" s="229">
        <v>240.5029</v>
      </c>
      <c r="D1224" s="229">
        <v>240.5029</v>
      </c>
      <c r="E1224" s="229">
        <v>240.5029</v>
      </c>
      <c r="F1224" s="229"/>
      <c r="G1224" s="229"/>
      <c r="H1224" s="229"/>
      <c r="I1224" s="229"/>
      <c r="J1224" s="229"/>
      <c r="K1224" s="229"/>
      <c r="L1224" s="229"/>
      <c r="M1224" s="229"/>
      <c r="N1224" s="232"/>
    </row>
    <row r="1225" hidden="1" spans="1:14">
      <c r="A1225" s="235"/>
      <c r="B1225" s="230" t="s">
        <v>1037</v>
      </c>
      <c r="C1225" s="229">
        <v>0.8085</v>
      </c>
      <c r="D1225" s="229">
        <v>0.8085</v>
      </c>
      <c r="E1225" s="229">
        <v>0.8085</v>
      </c>
      <c r="F1225" s="229"/>
      <c r="G1225" s="229"/>
      <c r="H1225" s="229"/>
      <c r="I1225" s="229"/>
      <c r="J1225" s="229"/>
      <c r="K1225" s="229"/>
      <c r="L1225" s="229"/>
      <c r="M1225" s="229"/>
      <c r="N1225" s="232"/>
    </row>
    <row r="1226" hidden="1" spans="1:14">
      <c r="A1226" s="235"/>
      <c r="B1226" s="230" t="s">
        <v>1038</v>
      </c>
      <c r="C1226" s="229">
        <v>0.33</v>
      </c>
      <c r="D1226" s="229">
        <v>0.33</v>
      </c>
      <c r="E1226" s="229">
        <v>0.33</v>
      </c>
      <c r="F1226" s="229"/>
      <c r="G1226" s="229"/>
      <c r="H1226" s="229"/>
      <c r="I1226" s="229"/>
      <c r="J1226" s="229"/>
      <c r="K1226" s="229"/>
      <c r="L1226" s="229"/>
      <c r="M1226" s="229"/>
      <c r="N1226" s="232"/>
    </row>
    <row r="1227" hidden="1" spans="1:14">
      <c r="A1227" s="235"/>
      <c r="B1227" s="230" t="s">
        <v>1039</v>
      </c>
      <c r="C1227" s="229">
        <v>4.810058</v>
      </c>
      <c r="D1227" s="229">
        <v>4.810058</v>
      </c>
      <c r="E1227" s="229">
        <v>4.810058</v>
      </c>
      <c r="F1227" s="229"/>
      <c r="G1227" s="229"/>
      <c r="H1227" s="229"/>
      <c r="I1227" s="229"/>
      <c r="J1227" s="229"/>
      <c r="K1227" s="229"/>
      <c r="L1227" s="229"/>
      <c r="M1227" s="229"/>
      <c r="N1227" s="232"/>
    </row>
    <row r="1228" hidden="1" spans="1:14">
      <c r="A1228" s="235"/>
      <c r="B1228" s="230" t="s">
        <v>1033</v>
      </c>
      <c r="C1228" s="229">
        <v>72.319096</v>
      </c>
      <c r="D1228" s="229">
        <v>72.319096</v>
      </c>
      <c r="E1228" s="229">
        <v>72.319096</v>
      </c>
      <c r="F1228" s="229"/>
      <c r="G1228" s="229"/>
      <c r="H1228" s="229"/>
      <c r="I1228" s="229"/>
      <c r="J1228" s="229"/>
      <c r="K1228" s="229"/>
      <c r="L1228" s="229"/>
      <c r="M1228" s="229"/>
      <c r="N1228" s="232"/>
    </row>
    <row r="1229" hidden="1" spans="1:14">
      <c r="A1229" s="235"/>
      <c r="B1229" s="230" t="s">
        <v>1028</v>
      </c>
      <c r="C1229" s="229">
        <v>32.34</v>
      </c>
      <c r="D1229" s="229">
        <v>32.34</v>
      </c>
      <c r="E1229" s="229">
        <v>32.34</v>
      </c>
      <c r="F1229" s="229"/>
      <c r="G1229" s="229"/>
      <c r="H1229" s="229"/>
      <c r="I1229" s="229"/>
      <c r="J1229" s="229"/>
      <c r="K1229" s="229"/>
      <c r="L1229" s="229"/>
      <c r="M1229" s="229"/>
      <c r="N1229" s="232"/>
    </row>
    <row r="1230" hidden="1" spans="1:14">
      <c r="A1230" s="235"/>
      <c r="B1230" s="230" t="s">
        <v>1029</v>
      </c>
      <c r="C1230" s="229">
        <v>16.2</v>
      </c>
      <c r="D1230" s="229">
        <v>16.2</v>
      </c>
      <c r="E1230" s="229">
        <v>16.2</v>
      </c>
      <c r="F1230" s="229"/>
      <c r="G1230" s="229"/>
      <c r="H1230" s="229"/>
      <c r="I1230" s="229"/>
      <c r="J1230" s="229"/>
      <c r="K1230" s="229"/>
      <c r="L1230" s="229"/>
      <c r="M1230" s="229"/>
      <c r="N1230" s="232"/>
    </row>
    <row r="1231" hidden="1" spans="1:14">
      <c r="A1231" s="235"/>
      <c r="B1231" s="230" t="s">
        <v>1036</v>
      </c>
      <c r="C1231" s="229">
        <v>28.860348</v>
      </c>
      <c r="D1231" s="229">
        <v>28.860348</v>
      </c>
      <c r="E1231" s="229">
        <v>28.860348</v>
      </c>
      <c r="F1231" s="229"/>
      <c r="G1231" s="229"/>
      <c r="H1231" s="229"/>
      <c r="I1231" s="229"/>
      <c r="J1231" s="229"/>
      <c r="K1231" s="229"/>
      <c r="L1231" s="229"/>
      <c r="M1231" s="229"/>
      <c r="N1231" s="232"/>
    </row>
    <row r="1232" hidden="1" spans="1:14">
      <c r="A1232" s="235"/>
      <c r="B1232" s="230" t="s">
        <v>1035</v>
      </c>
      <c r="C1232" s="229">
        <v>1.1</v>
      </c>
      <c r="D1232" s="229">
        <v>1.1</v>
      </c>
      <c r="E1232" s="229">
        <v>1.1</v>
      </c>
      <c r="F1232" s="229"/>
      <c r="G1232" s="229"/>
      <c r="H1232" s="229"/>
      <c r="I1232" s="229"/>
      <c r="J1232" s="229"/>
      <c r="K1232" s="229"/>
      <c r="L1232" s="229"/>
      <c r="M1232" s="229"/>
      <c r="N1232" s="232"/>
    </row>
    <row r="1233" spans="1:14">
      <c r="A1233" s="227" t="s">
        <v>1092</v>
      </c>
      <c r="B1233" s="230" t="s">
        <v>741</v>
      </c>
      <c r="C1233" s="229">
        <v>136.67911</v>
      </c>
      <c r="D1233" s="229">
        <v>136.67911</v>
      </c>
      <c r="E1233" s="229">
        <v>136.67911</v>
      </c>
      <c r="F1233" s="229"/>
      <c r="G1233" s="229"/>
      <c r="H1233" s="229"/>
      <c r="I1233" s="229"/>
      <c r="J1233" s="229"/>
      <c r="K1233" s="229"/>
      <c r="L1233" s="229"/>
      <c r="M1233" s="229"/>
      <c r="N1233" s="233" t="s">
        <v>578</v>
      </c>
    </row>
    <row r="1234" hidden="1" spans="1:14">
      <c r="A1234" s="235"/>
      <c r="B1234" s="230" t="s">
        <v>1028</v>
      </c>
      <c r="C1234" s="229">
        <v>8.82</v>
      </c>
      <c r="D1234" s="229">
        <v>8.82</v>
      </c>
      <c r="E1234" s="229">
        <v>8.82</v>
      </c>
      <c r="F1234" s="229"/>
      <c r="G1234" s="229"/>
      <c r="H1234" s="229"/>
      <c r="I1234" s="229"/>
      <c r="J1234" s="229"/>
      <c r="K1234" s="229"/>
      <c r="L1234" s="229"/>
      <c r="M1234" s="229"/>
      <c r="N1234" s="232"/>
    </row>
    <row r="1235" hidden="1" spans="1:14">
      <c r="A1235" s="235"/>
      <c r="B1235" s="230" t="s">
        <v>1039</v>
      </c>
      <c r="C1235" s="229">
        <v>1.693871</v>
      </c>
      <c r="D1235" s="229">
        <v>1.693871</v>
      </c>
      <c r="E1235" s="229">
        <v>1.693871</v>
      </c>
      <c r="F1235" s="229"/>
      <c r="G1235" s="229"/>
      <c r="H1235" s="229"/>
      <c r="I1235" s="229"/>
      <c r="J1235" s="229"/>
      <c r="K1235" s="229"/>
      <c r="L1235" s="229"/>
      <c r="M1235" s="229"/>
      <c r="N1235" s="232"/>
    </row>
    <row r="1236" hidden="1" spans="1:14">
      <c r="A1236" s="235"/>
      <c r="B1236" s="230" t="s">
        <v>1037</v>
      </c>
      <c r="C1236" s="229">
        <v>0.2205</v>
      </c>
      <c r="D1236" s="229">
        <v>0.2205</v>
      </c>
      <c r="E1236" s="229">
        <v>0.2205</v>
      </c>
      <c r="F1236" s="229"/>
      <c r="G1236" s="229"/>
      <c r="H1236" s="229"/>
      <c r="I1236" s="229"/>
      <c r="J1236" s="229"/>
      <c r="K1236" s="229"/>
      <c r="L1236" s="229"/>
      <c r="M1236" s="229"/>
      <c r="N1236" s="232"/>
    </row>
    <row r="1237" hidden="1" spans="1:14">
      <c r="A1237" s="235"/>
      <c r="B1237" s="230" t="s">
        <v>1036</v>
      </c>
      <c r="C1237" s="229">
        <v>10.163224</v>
      </c>
      <c r="D1237" s="229">
        <v>10.163224</v>
      </c>
      <c r="E1237" s="229">
        <v>10.163224</v>
      </c>
      <c r="F1237" s="229"/>
      <c r="G1237" s="229"/>
      <c r="H1237" s="229"/>
      <c r="I1237" s="229"/>
      <c r="J1237" s="229"/>
      <c r="K1237" s="229"/>
      <c r="L1237" s="229"/>
      <c r="M1237" s="229"/>
      <c r="N1237" s="232"/>
    </row>
    <row r="1238" hidden="1" spans="1:14">
      <c r="A1238" s="235"/>
      <c r="B1238" s="230" t="s">
        <v>1029</v>
      </c>
      <c r="C1238" s="229">
        <v>5.67</v>
      </c>
      <c r="D1238" s="229">
        <v>5.67</v>
      </c>
      <c r="E1238" s="229">
        <v>5.67</v>
      </c>
      <c r="F1238" s="229"/>
      <c r="G1238" s="229"/>
      <c r="H1238" s="229"/>
      <c r="I1238" s="229"/>
      <c r="J1238" s="229"/>
      <c r="K1238" s="229"/>
      <c r="L1238" s="229"/>
      <c r="M1238" s="229"/>
      <c r="N1238" s="232"/>
    </row>
    <row r="1239" hidden="1" spans="1:14">
      <c r="A1239" s="235"/>
      <c r="B1239" s="230" t="s">
        <v>1032</v>
      </c>
      <c r="C1239" s="229">
        <v>84.693536</v>
      </c>
      <c r="D1239" s="229">
        <v>84.693536</v>
      </c>
      <c r="E1239" s="229">
        <v>84.693536</v>
      </c>
      <c r="F1239" s="229"/>
      <c r="G1239" s="229"/>
      <c r="H1239" s="229"/>
      <c r="I1239" s="229"/>
      <c r="J1239" s="229"/>
      <c r="K1239" s="229"/>
      <c r="L1239" s="229"/>
      <c r="M1239" s="229"/>
      <c r="N1239" s="232"/>
    </row>
    <row r="1240" hidden="1" spans="1:14">
      <c r="A1240" s="235"/>
      <c r="B1240" s="230" t="s">
        <v>1033</v>
      </c>
      <c r="C1240" s="229">
        <v>25.027979</v>
      </c>
      <c r="D1240" s="229">
        <v>25.027979</v>
      </c>
      <c r="E1240" s="229">
        <v>25.027979</v>
      </c>
      <c r="F1240" s="229"/>
      <c r="G1240" s="229"/>
      <c r="H1240" s="229"/>
      <c r="I1240" s="229"/>
      <c r="J1240" s="229"/>
      <c r="K1240" s="229"/>
      <c r="L1240" s="229"/>
      <c r="M1240" s="229"/>
      <c r="N1240" s="232"/>
    </row>
    <row r="1241" hidden="1" spans="1:14">
      <c r="A1241" s="235"/>
      <c r="B1241" s="230" t="s">
        <v>1035</v>
      </c>
      <c r="C1241" s="229">
        <v>0.3</v>
      </c>
      <c r="D1241" s="229">
        <v>0.3</v>
      </c>
      <c r="E1241" s="229">
        <v>0.3</v>
      </c>
      <c r="F1241" s="229"/>
      <c r="G1241" s="229"/>
      <c r="H1241" s="229"/>
      <c r="I1241" s="229"/>
      <c r="J1241" s="229"/>
      <c r="K1241" s="229"/>
      <c r="L1241" s="229"/>
      <c r="M1241" s="229"/>
      <c r="N1241" s="232"/>
    </row>
    <row r="1242" hidden="1" spans="1:14">
      <c r="A1242" s="235"/>
      <c r="B1242" s="230" t="s">
        <v>1038</v>
      </c>
      <c r="C1242" s="229">
        <v>0.09</v>
      </c>
      <c r="D1242" s="229">
        <v>0.09</v>
      </c>
      <c r="E1242" s="229">
        <v>0.09</v>
      </c>
      <c r="F1242" s="229"/>
      <c r="G1242" s="229"/>
      <c r="H1242" s="229"/>
      <c r="I1242" s="229"/>
      <c r="J1242" s="229"/>
      <c r="K1242" s="229"/>
      <c r="L1242" s="229"/>
      <c r="M1242" s="229"/>
      <c r="N1242" s="232"/>
    </row>
    <row r="1243" spans="1:14">
      <c r="A1243" s="227" t="s">
        <v>1093</v>
      </c>
      <c r="B1243" s="231" t="s">
        <v>742</v>
      </c>
      <c r="C1243" s="229">
        <v>341.393842</v>
      </c>
      <c r="D1243" s="229">
        <v>341.393842</v>
      </c>
      <c r="E1243" s="229">
        <v>341.393842</v>
      </c>
      <c r="F1243" s="229"/>
      <c r="G1243" s="229"/>
      <c r="H1243" s="229"/>
      <c r="I1243" s="229"/>
      <c r="J1243" s="229"/>
      <c r="K1243" s="229"/>
      <c r="L1243" s="229"/>
      <c r="M1243" s="229"/>
      <c r="N1243" s="233" t="s">
        <v>578</v>
      </c>
    </row>
    <row r="1244" hidden="1" spans="1:14">
      <c r="A1244" s="235"/>
      <c r="B1244" s="230" t="s">
        <v>1039</v>
      </c>
      <c r="C1244" s="229">
        <v>3.740924</v>
      </c>
      <c r="D1244" s="229">
        <v>3.740924</v>
      </c>
      <c r="E1244" s="229">
        <v>3.740924</v>
      </c>
      <c r="F1244" s="229"/>
      <c r="G1244" s="229"/>
      <c r="H1244" s="229"/>
      <c r="I1244" s="229"/>
      <c r="J1244" s="229"/>
      <c r="K1244" s="229"/>
      <c r="L1244" s="229"/>
      <c r="M1244" s="229"/>
      <c r="N1244" s="232"/>
    </row>
    <row r="1245" hidden="1" spans="1:14">
      <c r="A1245" s="235"/>
      <c r="B1245" s="230" t="s">
        <v>1028</v>
      </c>
      <c r="C1245" s="229">
        <v>47.04</v>
      </c>
      <c r="D1245" s="229">
        <v>47.04</v>
      </c>
      <c r="E1245" s="229">
        <v>47.04</v>
      </c>
      <c r="F1245" s="229"/>
      <c r="G1245" s="229"/>
      <c r="H1245" s="229"/>
      <c r="I1245" s="229"/>
      <c r="J1245" s="229"/>
      <c r="K1245" s="229"/>
      <c r="L1245" s="229"/>
      <c r="M1245" s="229"/>
      <c r="N1245" s="232"/>
    </row>
    <row r="1246" hidden="1" spans="1:14">
      <c r="A1246" s="235"/>
      <c r="B1246" s="230" t="s">
        <v>1032</v>
      </c>
      <c r="C1246" s="229">
        <v>187.046216</v>
      </c>
      <c r="D1246" s="229">
        <v>187.046216</v>
      </c>
      <c r="E1246" s="229">
        <v>187.046216</v>
      </c>
      <c r="F1246" s="229"/>
      <c r="G1246" s="229"/>
      <c r="H1246" s="229"/>
      <c r="I1246" s="229"/>
      <c r="J1246" s="229"/>
      <c r="K1246" s="229"/>
      <c r="L1246" s="229"/>
      <c r="M1246" s="229"/>
      <c r="N1246" s="232"/>
    </row>
    <row r="1247" hidden="1" spans="1:14">
      <c r="A1247" s="235"/>
      <c r="B1247" s="230" t="s">
        <v>1029</v>
      </c>
      <c r="C1247" s="229">
        <v>12.15</v>
      </c>
      <c r="D1247" s="229">
        <v>12.15</v>
      </c>
      <c r="E1247" s="229">
        <v>12.15</v>
      </c>
      <c r="F1247" s="229"/>
      <c r="G1247" s="229"/>
      <c r="H1247" s="229"/>
      <c r="I1247" s="229"/>
      <c r="J1247" s="229"/>
      <c r="K1247" s="229"/>
      <c r="L1247" s="229"/>
      <c r="M1247" s="229"/>
      <c r="N1247" s="232"/>
    </row>
    <row r="1248" hidden="1" spans="1:14">
      <c r="A1248" s="235"/>
      <c r="B1248" s="230" t="s">
        <v>1035</v>
      </c>
      <c r="C1248" s="229">
        <v>1.6</v>
      </c>
      <c r="D1248" s="229">
        <v>1.6</v>
      </c>
      <c r="E1248" s="229">
        <v>1.6</v>
      </c>
      <c r="F1248" s="229"/>
      <c r="G1248" s="229"/>
      <c r="H1248" s="229"/>
      <c r="I1248" s="229"/>
      <c r="J1248" s="229"/>
      <c r="K1248" s="229"/>
      <c r="L1248" s="229"/>
      <c r="M1248" s="229"/>
      <c r="N1248" s="232"/>
    </row>
    <row r="1249" hidden="1" spans="1:14">
      <c r="A1249" s="235"/>
      <c r="B1249" s="230" t="s">
        <v>1033</v>
      </c>
      <c r="C1249" s="229">
        <v>61.985156</v>
      </c>
      <c r="D1249" s="229">
        <v>61.985156</v>
      </c>
      <c r="E1249" s="229">
        <v>61.985156</v>
      </c>
      <c r="F1249" s="229"/>
      <c r="G1249" s="229"/>
      <c r="H1249" s="229"/>
      <c r="I1249" s="229"/>
      <c r="J1249" s="229"/>
      <c r="K1249" s="229"/>
      <c r="L1249" s="229"/>
      <c r="M1249" s="229"/>
      <c r="N1249" s="232"/>
    </row>
    <row r="1250" hidden="1" spans="1:14">
      <c r="A1250" s="235"/>
      <c r="B1250" s="230" t="s">
        <v>1038</v>
      </c>
      <c r="C1250" s="229">
        <v>0.21</v>
      </c>
      <c r="D1250" s="229">
        <v>0.21</v>
      </c>
      <c r="E1250" s="229">
        <v>0.21</v>
      </c>
      <c r="F1250" s="229"/>
      <c r="G1250" s="229"/>
      <c r="H1250" s="229"/>
      <c r="I1250" s="229"/>
      <c r="J1250" s="229"/>
      <c r="K1250" s="229"/>
      <c r="L1250" s="229"/>
      <c r="M1250" s="229"/>
      <c r="N1250" s="232"/>
    </row>
    <row r="1251" hidden="1" spans="1:14">
      <c r="A1251" s="235"/>
      <c r="B1251" s="230" t="s">
        <v>1031</v>
      </c>
      <c r="C1251" s="229">
        <v>4</v>
      </c>
      <c r="D1251" s="229">
        <v>4</v>
      </c>
      <c r="E1251" s="229">
        <v>4</v>
      </c>
      <c r="F1251" s="229"/>
      <c r="G1251" s="229"/>
      <c r="H1251" s="229"/>
      <c r="I1251" s="229"/>
      <c r="J1251" s="229"/>
      <c r="K1251" s="229"/>
      <c r="L1251" s="229"/>
      <c r="M1251" s="229"/>
      <c r="N1251" s="232"/>
    </row>
    <row r="1252" hidden="1" spans="1:14">
      <c r="A1252" s="235"/>
      <c r="B1252" s="230" t="s">
        <v>1036</v>
      </c>
      <c r="C1252" s="229">
        <v>22.445546</v>
      </c>
      <c r="D1252" s="229">
        <v>22.445546</v>
      </c>
      <c r="E1252" s="229">
        <v>22.445546</v>
      </c>
      <c r="F1252" s="229"/>
      <c r="G1252" s="229"/>
      <c r="H1252" s="229"/>
      <c r="I1252" s="229"/>
      <c r="J1252" s="229"/>
      <c r="K1252" s="229"/>
      <c r="L1252" s="229"/>
      <c r="M1252" s="229"/>
      <c r="N1252" s="232"/>
    </row>
    <row r="1253" hidden="1" spans="1:14">
      <c r="A1253" s="235"/>
      <c r="B1253" s="230" t="s">
        <v>1037</v>
      </c>
      <c r="C1253" s="229">
        <v>1.176</v>
      </c>
      <c r="D1253" s="229">
        <v>1.176</v>
      </c>
      <c r="E1253" s="229">
        <v>1.176</v>
      </c>
      <c r="F1253" s="229"/>
      <c r="G1253" s="229"/>
      <c r="H1253" s="229"/>
      <c r="I1253" s="229"/>
      <c r="J1253" s="229"/>
      <c r="K1253" s="229"/>
      <c r="L1253" s="229"/>
      <c r="M1253" s="229"/>
      <c r="N1253" s="232"/>
    </row>
    <row r="1254" spans="1:14">
      <c r="A1254" s="227" t="s">
        <v>1094</v>
      </c>
      <c r="B1254" s="231" t="s">
        <v>743</v>
      </c>
      <c r="C1254" s="229">
        <v>820.009753</v>
      </c>
      <c r="D1254" s="229">
        <v>820.009753</v>
      </c>
      <c r="E1254" s="229">
        <v>544.630353</v>
      </c>
      <c r="F1254" s="229">
        <v>275.3794</v>
      </c>
      <c r="G1254" s="229"/>
      <c r="H1254" s="229"/>
      <c r="I1254" s="229"/>
      <c r="J1254" s="229"/>
      <c r="K1254" s="229"/>
      <c r="L1254" s="229"/>
      <c r="M1254" s="229"/>
      <c r="N1254" s="233" t="s">
        <v>578</v>
      </c>
    </row>
    <row r="1255" hidden="1" spans="1:14">
      <c r="A1255" s="235"/>
      <c r="B1255" s="230" t="s">
        <v>1034</v>
      </c>
      <c r="C1255" s="229">
        <v>3.042</v>
      </c>
      <c r="D1255" s="229">
        <v>3.042</v>
      </c>
      <c r="E1255" s="229">
        <v>3.042</v>
      </c>
      <c r="F1255" s="229"/>
      <c r="G1255" s="229"/>
      <c r="H1255" s="229"/>
      <c r="I1255" s="229"/>
      <c r="J1255" s="229"/>
      <c r="K1255" s="229"/>
      <c r="L1255" s="229"/>
      <c r="M1255" s="229"/>
      <c r="N1255" s="232"/>
    </row>
    <row r="1256" hidden="1" spans="1:14">
      <c r="A1256" s="235"/>
      <c r="B1256" s="230" t="s">
        <v>1029</v>
      </c>
      <c r="C1256" s="229">
        <v>28.35</v>
      </c>
      <c r="D1256" s="229">
        <v>28.35</v>
      </c>
      <c r="E1256" s="229">
        <v>28.35</v>
      </c>
      <c r="F1256" s="229"/>
      <c r="G1256" s="229"/>
      <c r="H1256" s="229"/>
      <c r="I1256" s="229"/>
      <c r="J1256" s="229"/>
      <c r="K1256" s="229"/>
      <c r="L1256" s="229"/>
      <c r="M1256" s="229"/>
      <c r="N1256" s="232"/>
    </row>
    <row r="1257" hidden="1" spans="1:14">
      <c r="A1257" s="235"/>
      <c r="B1257" s="230" t="s">
        <v>1037</v>
      </c>
      <c r="C1257" s="229">
        <v>2.4255</v>
      </c>
      <c r="D1257" s="229">
        <v>2.4255</v>
      </c>
      <c r="E1257" s="229">
        <v>2.4255</v>
      </c>
      <c r="F1257" s="229"/>
      <c r="G1257" s="229"/>
      <c r="H1257" s="229"/>
      <c r="I1257" s="229"/>
      <c r="J1257" s="229"/>
      <c r="K1257" s="229"/>
      <c r="L1257" s="229"/>
      <c r="M1257" s="229"/>
      <c r="N1257" s="232"/>
    </row>
    <row r="1258" hidden="1" spans="1:14">
      <c r="A1258" s="235"/>
      <c r="B1258" s="230" t="s">
        <v>1036</v>
      </c>
      <c r="C1258" s="229">
        <v>56.085086</v>
      </c>
      <c r="D1258" s="229">
        <v>56.085086</v>
      </c>
      <c r="E1258" s="229">
        <v>56.085086</v>
      </c>
      <c r="F1258" s="229"/>
      <c r="G1258" s="229"/>
      <c r="H1258" s="229"/>
      <c r="I1258" s="229"/>
      <c r="J1258" s="229"/>
      <c r="K1258" s="229"/>
      <c r="L1258" s="229"/>
      <c r="M1258" s="229"/>
      <c r="N1258" s="232"/>
    </row>
    <row r="1259" hidden="1" spans="1:14">
      <c r="A1259" s="235"/>
      <c r="B1259" s="230" t="s">
        <v>1032</v>
      </c>
      <c r="C1259" s="229">
        <v>467.375716</v>
      </c>
      <c r="D1259" s="229">
        <v>467.375716</v>
      </c>
      <c r="E1259" s="229">
        <v>289.016316</v>
      </c>
      <c r="F1259" s="229">
        <v>178.3594</v>
      </c>
      <c r="G1259" s="229"/>
      <c r="H1259" s="229"/>
      <c r="I1259" s="229"/>
      <c r="J1259" s="229"/>
      <c r="K1259" s="229"/>
      <c r="L1259" s="229"/>
      <c r="M1259" s="229"/>
      <c r="N1259" s="232"/>
    </row>
    <row r="1260" hidden="1" spans="1:14">
      <c r="A1260" s="235"/>
      <c r="B1260" s="230" t="s">
        <v>1033</v>
      </c>
      <c r="C1260" s="229">
        <v>152.643937</v>
      </c>
      <c r="D1260" s="229">
        <v>152.643937</v>
      </c>
      <c r="E1260" s="229">
        <v>152.643937</v>
      </c>
      <c r="F1260" s="229"/>
      <c r="G1260" s="229"/>
      <c r="H1260" s="229"/>
      <c r="I1260" s="229"/>
      <c r="J1260" s="229"/>
      <c r="K1260" s="229"/>
      <c r="L1260" s="229"/>
      <c r="M1260" s="229"/>
      <c r="N1260" s="232"/>
    </row>
    <row r="1261" hidden="1" spans="1:14">
      <c r="A1261" s="235"/>
      <c r="B1261" s="230" t="s">
        <v>1028</v>
      </c>
      <c r="C1261" s="229">
        <v>97.02</v>
      </c>
      <c r="D1261" s="229">
        <v>97.02</v>
      </c>
      <c r="E1261" s="229"/>
      <c r="F1261" s="229">
        <v>97.02</v>
      </c>
      <c r="G1261" s="229"/>
      <c r="H1261" s="229"/>
      <c r="I1261" s="229"/>
      <c r="J1261" s="229"/>
      <c r="K1261" s="229"/>
      <c r="L1261" s="229"/>
      <c r="M1261" s="229"/>
      <c r="N1261" s="232"/>
    </row>
    <row r="1262" hidden="1" spans="1:14">
      <c r="A1262" s="235"/>
      <c r="B1262" s="230" t="s">
        <v>1039</v>
      </c>
      <c r="C1262" s="229">
        <v>9.347514</v>
      </c>
      <c r="D1262" s="229">
        <v>9.347514</v>
      </c>
      <c r="E1262" s="229">
        <v>9.347514</v>
      </c>
      <c r="F1262" s="229"/>
      <c r="G1262" s="229"/>
      <c r="H1262" s="229"/>
      <c r="I1262" s="229"/>
      <c r="J1262" s="229"/>
      <c r="K1262" s="229"/>
      <c r="L1262" s="229"/>
      <c r="M1262" s="229"/>
      <c r="N1262" s="232"/>
    </row>
    <row r="1263" hidden="1" spans="1:14">
      <c r="A1263" s="235"/>
      <c r="B1263" s="230" t="s">
        <v>1038</v>
      </c>
      <c r="C1263" s="229">
        <v>0.42</v>
      </c>
      <c r="D1263" s="229">
        <v>0.42</v>
      </c>
      <c r="E1263" s="229">
        <v>0.42</v>
      </c>
      <c r="F1263" s="229"/>
      <c r="G1263" s="229"/>
      <c r="H1263" s="229"/>
      <c r="I1263" s="229"/>
      <c r="J1263" s="229"/>
      <c r="K1263" s="229"/>
      <c r="L1263" s="229"/>
      <c r="M1263" s="229"/>
      <c r="N1263" s="232"/>
    </row>
    <row r="1264" hidden="1" spans="1:14">
      <c r="A1264" s="235"/>
      <c r="B1264" s="230" t="s">
        <v>1035</v>
      </c>
      <c r="C1264" s="229">
        <v>3.3</v>
      </c>
      <c r="D1264" s="229">
        <v>3.3</v>
      </c>
      <c r="E1264" s="229">
        <v>3.3</v>
      </c>
      <c r="F1264" s="229"/>
      <c r="G1264" s="229"/>
      <c r="H1264" s="229"/>
      <c r="I1264" s="229"/>
      <c r="J1264" s="229"/>
      <c r="K1264" s="229"/>
      <c r="L1264" s="229"/>
      <c r="M1264" s="229"/>
      <c r="N1264" s="232"/>
    </row>
    <row r="1265" spans="1:14">
      <c r="A1265" s="227" t="s">
        <v>1095</v>
      </c>
      <c r="B1265" s="231" t="s">
        <v>744</v>
      </c>
      <c r="C1265" s="229">
        <v>168.791753</v>
      </c>
      <c r="D1265" s="229">
        <v>168.791753</v>
      </c>
      <c r="E1265" s="229">
        <v>168.791753</v>
      </c>
      <c r="F1265" s="229"/>
      <c r="G1265" s="229"/>
      <c r="H1265" s="229"/>
      <c r="I1265" s="229"/>
      <c r="J1265" s="229"/>
      <c r="K1265" s="229"/>
      <c r="L1265" s="229"/>
      <c r="M1265" s="229"/>
      <c r="N1265" s="233" t="s">
        <v>578</v>
      </c>
    </row>
    <row r="1266" hidden="1" spans="1:14">
      <c r="A1266" s="235"/>
      <c r="B1266" s="230" t="s">
        <v>1032</v>
      </c>
      <c r="C1266" s="229">
        <v>98.8912</v>
      </c>
      <c r="D1266" s="229">
        <v>98.8912</v>
      </c>
      <c r="E1266" s="229">
        <v>98.8912</v>
      </c>
      <c r="F1266" s="229"/>
      <c r="G1266" s="229"/>
      <c r="H1266" s="229"/>
      <c r="I1266" s="229"/>
      <c r="J1266" s="229"/>
      <c r="K1266" s="229"/>
      <c r="L1266" s="229"/>
      <c r="M1266" s="229"/>
      <c r="N1266" s="232"/>
    </row>
    <row r="1267" hidden="1" spans="1:14">
      <c r="A1267" s="235"/>
      <c r="B1267" s="230" t="s">
        <v>1028</v>
      </c>
      <c r="C1267" s="229">
        <v>17.64</v>
      </c>
      <c r="D1267" s="229">
        <v>17.64</v>
      </c>
      <c r="E1267" s="229">
        <v>17.64</v>
      </c>
      <c r="F1267" s="229"/>
      <c r="G1267" s="229"/>
      <c r="H1267" s="229"/>
      <c r="I1267" s="229"/>
      <c r="J1267" s="229"/>
      <c r="K1267" s="229"/>
      <c r="L1267" s="229"/>
      <c r="M1267" s="229"/>
      <c r="N1267" s="232"/>
    </row>
    <row r="1268" hidden="1" spans="1:14">
      <c r="A1268" s="235"/>
      <c r="B1268" s="230" t="s">
        <v>1039</v>
      </c>
      <c r="C1268" s="229">
        <v>1.977824</v>
      </c>
      <c r="D1268" s="229">
        <v>1.977824</v>
      </c>
      <c r="E1268" s="229">
        <v>1.977824</v>
      </c>
      <c r="F1268" s="229"/>
      <c r="G1268" s="229"/>
      <c r="H1268" s="229"/>
      <c r="I1268" s="229"/>
      <c r="J1268" s="229"/>
      <c r="K1268" s="229"/>
      <c r="L1268" s="229"/>
      <c r="M1268" s="229"/>
      <c r="N1268" s="232"/>
    </row>
    <row r="1269" hidden="1" spans="1:14">
      <c r="A1269" s="235"/>
      <c r="B1269" s="230" t="s">
        <v>1033</v>
      </c>
      <c r="C1269" s="229">
        <v>30.804785</v>
      </c>
      <c r="D1269" s="229">
        <v>30.804785</v>
      </c>
      <c r="E1269" s="229">
        <v>30.804785</v>
      </c>
      <c r="F1269" s="229"/>
      <c r="G1269" s="229"/>
      <c r="H1269" s="229"/>
      <c r="I1269" s="229"/>
      <c r="J1269" s="229"/>
      <c r="K1269" s="229"/>
      <c r="L1269" s="229"/>
      <c r="M1269" s="229"/>
      <c r="N1269" s="232"/>
    </row>
    <row r="1270" hidden="1" spans="1:14">
      <c r="A1270" s="235"/>
      <c r="B1270" s="230" t="s">
        <v>1038</v>
      </c>
      <c r="C1270" s="229">
        <v>0.18</v>
      </c>
      <c r="D1270" s="229">
        <v>0.18</v>
      </c>
      <c r="E1270" s="229">
        <v>0.18</v>
      </c>
      <c r="F1270" s="229"/>
      <c r="G1270" s="229"/>
      <c r="H1270" s="229"/>
      <c r="I1270" s="229"/>
      <c r="J1270" s="229"/>
      <c r="K1270" s="229"/>
      <c r="L1270" s="229"/>
      <c r="M1270" s="229"/>
      <c r="N1270" s="232"/>
    </row>
    <row r="1271" hidden="1" spans="1:14">
      <c r="A1271" s="235"/>
      <c r="B1271" s="230" t="s">
        <v>1035</v>
      </c>
      <c r="C1271" s="229">
        <v>0.6</v>
      </c>
      <c r="D1271" s="229">
        <v>0.6</v>
      </c>
      <c r="E1271" s="229">
        <v>0.6</v>
      </c>
      <c r="F1271" s="229"/>
      <c r="G1271" s="229"/>
      <c r="H1271" s="229"/>
      <c r="I1271" s="229"/>
      <c r="J1271" s="229"/>
      <c r="K1271" s="229"/>
      <c r="L1271" s="229"/>
      <c r="M1271" s="229"/>
      <c r="N1271" s="232"/>
    </row>
    <row r="1272" hidden="1" spans="1:14">
      <c r="A1272" s="235"/>
      <c r="B1272" s="230" t="s">
        <v>1029</v>
      </c>
      <c r="C1272" s="229">
        <v>5.73</v>
      </c>
      <c r="D1272" s="229">
        <v>5.73</v>
      </c>
      <c r="E1272" s="229">
        <v>5.73</v>
      </c>
      <c r="F1272" s="229"/>
      <c r="G1272" s="229"/>
      <c r="H1272" s="229"/>
      <c r="I1272" s="229"/>
      <c r="J1272" s="229"/>
      <c r="K1272" s="229"/>
      <c r="L1272" s="229"/>
      <c r="M1272" s="229"/>
      <c r="N1272" s="232"/>
    </row>
    <row r="1273" hidden="1" spans="1:14">
      <c r="A1273" s="235"/>
      <c r="B1273" s="230" t="s">
        <v>1036</v>
      </c>
      <c r="C1273" s="229">
        <v>11.866944</v>
      </c>
      <c r="D1273" s="229">
        <v>11.866944</v>
      </c>
      <c r="E1273" s="229">
        <v>11.866944</v>
      </c>
      <c r="F1273" s="229"/>
      <c r="G1273" s="229"/>
      <c r="H1273" s="229"/>
      <c r="I1273" s="229"/>
      <c r="J1273" s="229"/>
      <c r="K1273" s="229"/>
      <c r="L1273" s="229"/>
      <c r="M1273" s="229"/>
      <c r="N1273" s="232"/>
    </row>
    <row r="1274" hidden="1" spans="1:14">
      <c r="A1274" s="235"/>
      <c r="B1274" s="230" t="s">
        <v>1037</v>
      </c>
      <c r="C1274" s="229">
        <v>0.441</v>
      </c>
      <c r="D1274" s="229">
        <v>0.441</v>
      </c>
      <c r="E1274" s="229">
        <v>0.441</v>
      </c>
      <c r="F1274" s="229"/>
      <c r="G1274" s="229"/>
      <c r="H1274" s="229"/>
      <c r="I1274" s="229"/>
      <c r="J1274" s="229"/>
      <c r="K1274" s="229"/>
      <c r="L1274" s="229"/>
      <c r="M1274" s="229"/>
      <c r="N1274" s="232"/>
    </row>
    <row r="1275" hidden="1" spans="1:14">
      <c r="A1275" s="235"/>
      <c r="B1275" s="230" t="s">
        <v>1031</v>
      </c>
      <c r="C1275" s="229">
        <v>0.66</v>
      </c>
      <c r="D1275" s="229">
        <v>0.66</v>
      </c>
      <c r="E1275" s="229">
        <v>0.66</v>
      </c>
      <c r="F1275" s="229"/>
      <c r="G1275" s="229"/>
      <c r="H1275" s="229"/>
      <c r="I1275" s="229"/>
      <c r="J1275" s="229"/>
      <c r="K1275" s="229"/>
      <c r="L1275" s="229"/>
      <c r="M1275" s="229"/>
      <c r="N1275" s="232"/>
    </row>
    <row r="1276" spans="1:14">
      <c r="A1276" s="227" t="s">
        <v>1096</v>
      </c>
      <c r="B1276" s="230" t="s">
        <v>745</v>
      </c>
      <c r="C1276" s="229">
        <v>319.069164</v>
      </c>
      <c r="D1276" s="229">
        <v>319.069164</v>
      </c>
      <c r="E1276" s="229">
        <v>319.069164</v>
      </c>
      <c r="F1276" s="229"/>
      <c r="G1276" s="229"/>
      <c r="H1276" s="229"/>
      <c r="I1276" s="229"/>
      <c r="J1276" s="229"/>
      <c r="K1276" s="229"/>
      <c r="L1276" s="229"/>
      <c r="M1276" s="229"/>
      <c r="N1276" s="233" t="s">
        <v>578</v>
      </c>
    </row>
    <row r="1277" hidden="1" spans="1:14">
      <c r="A1277" s="235"/>
      <c r="B1277" s="230" t="s">
        <v>1028</v>
      </c>
      <c r="C1277" s="229">
        <v>5.88</v>
      </c>
      <c r="D1277" s="229">
        <v>5.88</v>
      </c>
      <c r="E1277" s="229">
        <v>5.88</v>
      </c>
      <c r="F1277" s="229"/>
      <c r="G1277" s="229"/>
      <c r="H1277" s="229"/>
      <c r="I1277" s="229"/>
      <c r="J1277" s="229"/>
      <c r="K1277" s="229"/>
      <c r="L1277" s="229"/>
      <c r="M1277" s="229"/>
      <c r="N1277" s="232"/>
    </row>
    <row r="1278" hidden="1" spans="1:14">
      <c r="A1278" s="235"/>
      <c r="B1278" s="230" t="s">
        <v>1033</v>
      </c>
      <c r="C1278" s="229">
        <v>55.266484</v>
      </c>
      <c r="D1278" s="229">
        <v>55.266484</v>
      </c>
      <c r="E1278" s="229">
        <v>55.266484</v>
      </c>
      <c r="F1278" s="229"/>
      <c r="G1278" s="229"/>
      <c r="H1278" s="229"/>
      <c r="I1278" s="229"/>
      <c r="J1278" s="229"/>
      <c r="K1278" s="229"/>
      <c r="L1278" s="229"/>
      <c r="M1278" s="229"/>
      <c r="N1278" s="232"/>
    </row>
    <row r="1279" hidden="1" spans="1:14">
      <c r="A1279" s="235"/>
      <c r="B1279" s="230" t="s">
        <v>1027</v>
      </c>
      <c r="C1279" s="229">
        <v>6</v>
      </c>
      <c r="D1279" s="229">
        <v>6</v>
      </c>
      <c r="E1279" s="229">
        <v>6</v>
      </c>
      <c r="F1279" s="229"/>
      <c r="G1279" s="229"/>
      <c r="H1279" s="229"/>
      <c r="I1279" s="229"/>
      <c r="J1279" s="229"/>
      <c r="K1279" s="229"/>
      <c r="L1279" s="229"/>
      <c r="M1279" s="229"/>
      <c r="N1279" s="232"/>
    </row>
    <row r="1280" hidden="1" spans="1:14">
      <c r="A1280" s="235"/>
      <c r="B1280" s="230" t="s">
        <v>1039</v>
      </c>
      <c r="C1280" s="229">
        <v>3.82624</v>
      </c>
      <c r="D1280" s="229">
        <v>3.82624</v>
      </c>
      <c r="E1280" s="229">
        <v>3.82624</v>
      </c>
      <c r="F1280" s="229"/>
      <c r="G1280" s="229"/>
      <c r="H1280" s="229"/>
      <c r="I1280" s="229"/>
      <c r="J1280" s="229"/>
      <c r="K1280" s="229"/>
      <c r="L1280" s="229"/>
      <c r="M1280" s="229"/>
      <c r="N1280" s="232"/>
    </row>
    <row r="1281" hidden="1" spans="1:14">
      <c r="A1281" s="235"/>
      <c r="B1281" s="230" t="s">
        <v>1032</v>
      </c>
      <c r="C1281" s="229">
        <v>191.312</v>
      </c>
      <c r="D1281" s="229">
        <v>191.312</v>
      </c>
      <c r="E1281" s="229">
        <v>191.312</v>
      </c>
      <c r="F1281" s="229"/>
      <c r="G1281" s="229"/>
      <c r="H1281" s="229"/>
      <c r="I1281" s="229"/>
      <c r="J1281" s="229"/>
      <c r="K1281" s="229"/>
      <c r="L1281" s="229"/>
      <c r="M1281" s="229"/>
      <c r="N1281" s="232"/>
    </row>
    <row r="1282" hidden="1" spans="1:14">
      <c r="A1282" s="235"/>
      <c r="B1282" s="230" t="s">
        <v>1031</v>
      </c>
      <c r="C1282" s="229">
        <v>9.96</v>
      </c>
      <c r="D1282" s="229">
        <v>9.96</v>
      </c>
      <c r="E1282" s="229">
        <v>9.96</v>
      </c>
      <c r="F1282" s="229"/>
      <c r="G1282" s="229"/>
      <c r="H1282" s="229"/>
      <c r="I1282" s="229"/>
      <c r="J1282" s="229"/>
      <c r="K1282" s="229"/>
      <c r="L1282" s="229"/>
      <c r="M1282" s="229"/>
      <c r="N1282" s="232"/>
    </row>
    <row r="1283" hidden="1" spans="1:14">
      <c r="A1283" s="235"/>
      <c r="B1283" s="230" t="s">
        <v>1037</v>
      </c>
      <c r="C1283" s="229">
        <v>0.147</v>
      </c>
      <c r="D1283" s="229">
        <v>0.147</v>
      </c>
      <c r="E1283" s="229">
        <v>0.147</v>
      </c>
      <c r="F1283" s="229"/>
      <c r="G1283" s="229"/>
      <c r="H1283" s="229"/>
      <c r="I1283" s="229"/>
      <c r="J1283" s="229"/>
      <c r="K1283" s="229"/>
      <c r="L1283" s="229"/>
      <c r="M1283" s="229"/>
      <c r="N1283" s="232"/>
    </row>
    <row r="1284" hidden="1" spans="1:14">
      <c r="A1284" s="235"/>
      <c r="B1284" s="230" t="s">
        <v>1035</v>
      </c>
      <c r="C1284" s="229">
        <v>0.2</v>
      </c>
      <c r="D1284" s="229">
        <v>0.2</v>
      </c>
      <c r="E1284" s="229">
        <v>0.2</v>
      </c>
      <c r="F1284" s="229"/>
      <c r="G1284" s="229"/>
      <c r="H1284" s="229"/>
      <c r="I1284" s="229"/>
      <c r="J1284" s="229"/>
      <c r="K1284" s="229"/>
      <c r="L1284" s="229"/>
      <c r="M1284" s="229"/>
      <c r="N1284" s="232"/>
    </row>
    <row r="1285" hidden="1" spans="1:14">
      <c r="A1285" s="235"/>
      <c r="B1285" s="230" t="s">
        <v>1036</v>
      </c>
      <c r="C1285" s="229">
        <v>22.95744</v>
      </c>
      <c r="D1285" s="229">
        <v>22.95744</v>
      </c>
      <c r="E1285" s="229">
        <v>22.95744</v>
      </c>
      <c r="F1285" s="229"/>
      <c r="G1285" s="229"/>
      <c r="H1285" s="229"/>
      <c r="I1285" s="229"/>
      <c r="J1285" s="229"/>
      <c r="K1285" s="229"/>
      <c r="L1285" s="229"/>
      <c r="M1285" s="229"/>
      <c r="N1285" s="232"/>
    </row>
    <row r="1286" hidden="1" spans="1:14">
      <c r="A1286" s="235"/>
      <c r="B1286" s="230" t="s">
        <v>1030</v>
      </c>
      <c r="C1286" s="229">
        <v>4</v>
      </c>
      <c r="D1286" s="229">
        <v>4</v>
      </c>
      <c r="E1286" s="229">
        <v>4</v>
      </c>
      <c r="F1286" s="229"/>
      <c r="G1286" s="229"/>
      <c r="H1286" s="229"/>
      <c r="I1286" s="229"/>
      <c r="J1286" s="229"/>
      <c r="K1286" s="229"/>
      <c r="L1286" s="229"/>
      <c r="M1286" s="229"/>
      <c r="N1286" s="232"/>
    </row>
    <row r="1287" hidden="1" spans="1:14">
      <c r="A1287" s="235"/>
      <c r="B1287" s="230" t="s">
        <v>1029</v>
      </c>
      <c r="C1287" s="229">
        <v>19.52</v>
      </c>
      <c r="D1287" s="229">
        <v>19.52</v>
      </c>
      <c r="E1287" s="229">
        <v>19.52</v>
      </c>
      <c r="F1287" s="229"/>
      <c r="G1287" s="229"/>
      <c r="H1287" s="229"/>
      <c r="I1287" s="229"/>
      <c r="J1287" s="229"/>
      <c r="K1287" s="229"/>
      <c r="L1287" s="229"/>
      <c r="M1287" s="229"/>
      <c r="N1287" s="232"/>
    </row>
    <row r="1288" spans="1:14">
      <c r="A1288" s="227" t="s">
        <v>1097</v>
      </c>
      <c r="B1288" s="231" t="s">
        <v>746</v>
      </c>
      <c r="C1288" s="229">
        <v>1818.243722</v>
      </c>
      <c r="D1288" s="229">
        <v>1818.243722</v>
      </c>
      <c r="E1288" s="229">
        <v>1818.243722</v>
      </c>
      <c r="F1288" s="229"/>
      <c r="G1288" s="229"/>
      <c r="H1288" s="229"/>
      <c r="I1288" s="229"/>
      <c r="J1288" s="229"/>
      <c r="K1288" s="229"/>
      <c r="L1288" s="229"/>
      <c r="M1288" s="229"/>
      <c r="N1288" s="233" t="s">
        <v>578</v>
      </c>
    </row>
    <row r="1289" hidden="1" spans="1:14">
      <c r="A1289" s="235"/>
      <c r="B1289" s="230" t="s">
        <v>1033</v>
      </c>
      <c r="C1289" s="229">
        <v>314.852384</v>
      </c>
      <c r="D1289" s="229">
        <v>314.852384</v>
      </c>
      <c r="E1289" s="229">
        <v>314.852384</v>
      </c>
      <c r="F1289" s="229"/>
      <c r="G1289" s="229"/>
      <c r="H1289" s="229"/>
      <c r="I1289" s="229"/>
      <c r="J1289" s="229"/>
      <c r="K1289" s="229"/>
      <c r="L1289" s="229"/>
      <c r="M1289" s="229"/>
      <c r="N1289" s="232"/>
    </row>
    <row r="1290" hidden="1" spans="1:14">
      <c r="A1290" s="235"/>
      <c r="B1290" s="230" t="s">
        <v>1037</v>
      </c>
      <c r="C1290" s="229">
        <v>3.1605</v>
      </c>
      <c r="D1290" s="229">
        <v>3.1605</v>
      </c>
      <c r="E1290" s="229">
        <v>3.1605</v>
      </c>
      <c r="F1290" s="229"/>
      <c r="G1290" s="229"/>
      <c r="H1290" s="229"/>
      <c r="I1290" s="229"/>
      <c r="J1290" s="229"/>
      <c r="K1290" s="229"/>
      <c r="L1290" s="229"/>
      <c r="M1290" s="229"/>
      <c r="N1290" s="232"/>
    </row>
    <row r="1291" hidden="1" spans="1:14">
      <c r="A1291" s="235"/>
      <c r="B1291" s="230" t="s">
        <v>1030</v>
      </c>
      <c r="C1291" s="229">
        <v>4</v>
      </c>
      <c r="D1291" s="229">
        <v>4</v>
      </c>
      <c r="E1291" s="229">
        <v>4</v>
      </c>
      <c r="F1291" s="229"/>
      <c r="G1291" s="229"/>
      <c r="H1291" s="229"/>
      <c r="I1291" s="229"/>
      <c r="J1291" s="229"/>
      <c r="K1291" s="229"/>
      <c r="L1291" s="229"/>
      <c r="M1291" s="229"/>
      <c r="N1291" s="232"/>
    </row>
    <row r="1292" hidden="1" spans="1:14">
      <c r="A1292" s="235"/>
      <c r="B1292" s="230" t="s">
        <v>1032</v>
      </c>
      <c r="C1292" s="229">
        <v>1054.848104</v>
      </c>
      <c r="D1292" s="229">
        <v>1054.848104</v>
      </c>
      <c r="E1292" s="229">
        <v>1054.848104</v>
      </c>
      <c r="F1292" s="229"/>
      <c r="G1292" s="229"/>
      <c r="H1292" s="229"/>
      <c r="I1292" s="229"/>
      <c r="J1292" s="229"/>
      <c r="K1292" s="229"/>
      <c r="L1292" s="229"/>
      <c r="M1292" s="229"/>
      <c r="N1292" s="232"/>
    </row>
    <row r="1293" hidden="1" spans="1:14">
      <c r="A1293" s="235"/>
      <c r="B1293" s="230" t="s">
        <v>1031</v>
      </c>
      <c r="C1293" s="229">
        <v>49.2</v>
      </c>
      <c r="D1293" s="229">
        <v>49.2</v>
      </c>
      <c r="E1293" s="229">
        <v>49.2</v>
      </c>
      <c r="F1293" s="229"/>
      <c r="G1293" s="229"/>
      <c r="H1293" s="229"/>
      <c r="I1293" s="229"/>
      <c r="J1293" s="229"/>
      <c r="K1293" s="229"/>
      <c r="L1293" s="229"/>
      <c r="M1293" s="229"/>
      <c r="N1293" s="232"/>
    </row>
    <row r="1294" hidden="1" spans="1:14">
      <c r="A1294" s="235"/>
      <c r="B1294" s="230" t="s">
        <v>1034</v>
      </c>
      <c r="C1294" s="229">
        <v>1.014</v>
      </c>
      <c r="D1294" s="229">
        <v>1.014</v>
      </c>
      <c r="E1294" s="229">
        <v>1.014</v>
      </c>
      <c r="F1294" s="229"/>
      <c r="G1294" s="229"/>
      <c r="H1294" s="229"/>
      <c r="I1294" s="229"/>
      <c r="J1294" s="229"/>
      <c r="K1294" s="229"/>
      <c r="L1294" s="229"/>
      <c r="M1294" s="229"/>
      <c r="N1294" s="232"/>
    </row>
    <row r="1295" hidden="1" spans="1:14">
      <c r="A1295" s="235"/>
      <c r="B1295" s="230" t="s">
        <v>1028</v>
      </c>
      <c r="C1295" s="229">
        <v>126.42</v>
      </c>
      <c r="D1295" s="229">
        <v>126.42</v>
      </c>
      <c r="E1295" s="229">
        <v>126.42</v>
      </c>
      <c r="F1295" s="229"/>
      <c r="G1295" s="229"/>
      <c r="H1295" s="229"/>
      <c r="I1295" s="229"/>
      <c r="J1295" s="229"/>
      <c r="K1295" s="229"/>
      <c r="L1295" s="229"/>
      <c r="M1295" s="229"/>
      <c r="N1295" s="232"/>
    </row>
    <row r="1296" hidden="1" spans="1:14">
      <c r="A1296" s="235"/>
      <c r="B1296" s="230" t="s">
        <v>1035</v>
      </c>
      <c r="C1296" s="229">
        <v>4.3</v>
      </c>
      <c r="D1296" s="229">
        <v>4.3</v>
      </c>
      <c r="E1296" s="229">
        <v>4.3</v>
      </c>
      <c r="F1296" s="229"/>
      <c r="G1296" s="229"/>
      <c r="H1296" s="229"/>
      <c r="I1296" s="229"/>
      <c r="J1296" s="229"/>
      <c r="K1296" s="229"/>
      <c r="L1296" s="229"/>
      <c r="M1296" s="229"/>
      <c r="N1296" s="232"/>
    </row>
    <row r="1297" hidden="1" spans="1:14">
      <c r="A1297" s="235"/>
      <c r="B1297" s="230" t="s">
        <v>1027</v>
      </c>
      <c r="C1297" s="229">
        <v>6</v>
      </c>
      <c r="D1297" s="229">
        <v>6</v>
      </c>
      <c r="E1297" s="229">
        <v>6</v>
      </c>
      <c r="F1297" s="229"/>
      <c r="G1297" s="229"/>
      <c r="H1297" s="229"/>
      <c r="I1297" s="229"/>
      <c r="J1297" s="229"/>
      <c r="K1297" s="229"/>
      <c r="L1297" s="229"/>
      <c r="M1297" s="229"/>
      <c r="N1297" s="232"/>
    </row>
    <row r="1298" hidden="1" spans="1:14">
      <c r="A1298" s="235"/>
      <c r="B1298" s="230" t="s">
        <v>1029</v>
      </c>
      <c r="C1298" s="229">
        <v>106.14</v>
      </c>
      <c r="D1298" s="229">
        <v>106.14</v>
      </c>
      <c r="E1298" s="229">
        <v>106.14</v>
      </c>
      <c r="F1298" s="229"/>
      <c r="G1298" s="229"/>
      <c r="H1298" s="229"/>
      <c r="I1298" s="229"/>
      <c r="J1298" s="229"/>
      <c r="K1298" s="229"/>
      <c r="L1298" s="229"/>
      <c r="M1298" s="229"/>
      <c r="N1298" s="232"/>
    </row>
    <row r="1299" hidden="1" spans="1:14">
      <c r="A1299" s="235"/>
      <c r="B1299" s="230" t="s">
        <v>1039</v>
      </c>
      <c r="C1299" s="229">
        <v>21.096962</v>
      </c>
      <c r="D1299" s="229">
        <v>21.096962</v>
      </c>
      <c r="E1299" s="229">
        <v>21.096962</v>
      </c>
      <c r="F1299" s="229"/>
      <c r="G1299" s="229"/>
      <c r="H1299" s="229"/>
      <c r="I1299" s="229"/>
      <c r="J1299" s="229"/>
      <c r="K1299" s="229"/>
      <c r="L1299" s="229"/>
      <c r="M1299" s="229"/>
      <c r="N1299" s="232"/>
    </row>
    <row r="1300" hidden="1" spans="1:14">
      <c r="A1300" s="235"/>
      <c r="B1300" s="230" t="s">
        <v>1036</v>
      </c>
      <c r="C1300" s="229">
        <v>126.581772</v>
      </c>
      <c r="D1300" s="229">
        <v>126.581772</v>
      </c>
      <c r="E1300" s="229">
        <v>126.581772</v>
      </c>
      <c r="F1300" s="229"/>
      <c r="G1300" s="229"/>
      <c r="H1300" s="229"/>
      <c r="I1300" s="229"/>
      <c r="J1300" s="229"/>
      <c r="K1300" s="229"/>
      <c r="L1300" s="229"/>
      <c r="M1300" s="229"/>
      <c r="N1300" s="232"/>
    </row>
    <row r="1301" hidden="1" spans="1:14">
      <c r="A1301" s="235"/>
      <c r="B1301" s="230" t="s">
        <v>1038</v>
      </c>
      <c r="C1301" s="229">
        <v>0.63</v>
      </c>
      <c r="D1301" s="229">
        <v>0.63</v>
      </c>
      <c r="E1301" s="229">
        <v>0.63</v>
      </c>
      <c r="F1301" s="229"/>
      <c r="G1301" s="229"/>
      <c r="H1301" s="229"/>
      <c r="I1301" s="229"/>
      <c r="J1301" s="229"/>
      <c r="K1301" s="229"/>
      <c r="L1301" s="229"/>
      <c r="M1301" s="229"/>
      <c r="N1301" s="232"/>
    </row>
    <row r="1302" spans="1:14">
      <c r="A1302" s="227" t="s">
        <v>1098</v>
      </c>
      <c r="B1302" s="231" t="s">
        <v>747</v>
      </c>
      <c r="C1302" s="229">
        <v>444.50443</v>
      </c>
      <c r="D1302" s="229">
        <v>444.50443</v>
      </c>
      <c r="E1302" s="229">
        <v>444.50443</v>
      </c>
      <c r="F1302" s="229"/>
      <c r="G1302" s="229"/>
      <c r="H1302" s="229"/>
      <c r="I1302" s="229"/>
      <c r="J1302" s="229"/>
      <c r="K1302" s="229"/>
      <c r="L1302" s="229"/>
      <c r="M1302" s="229"/>
      <c r="N1302" s="233" t="s">
        <v>578</v>
      </c>
    </row>
    <row r="1303" hidden="1" spans="1:14">
      <c r="A1303" s="235"/>
      <c r="B1303" s="230" t="s">
        <v>1033</v>
      </c>
      <c r="C1303" s="229">
        <v>75.923836</v>
      </c>
      <c r="D1303" s="229">
        <v>75.923836</v>
      </c>
      <c r="E1303" s="229">
        <v>75.923836</v>
      </c>
      <c r="F1303" s="229"/>
      <c r="G1303" s="229"/>
      <c r="H1303" s="229"/>
      <c r="I1303" s="229"/>
      <c r="J1303" s="229"/>
      <c r="K1303" s="229"/>
      <c r="L1303" s="229"/>
      <c r="M1303" s="229"/>
      <c r="N1303" s="232"/>
    </row>
    <row r="1304" hidden="1" spans="1:14">
      <c r="A1304" s="235"/>
      <c r="B1304" s="230" t="s">
        <v>1038</v>
      </c>
      <c r="C1304" s="229">
        <v>0.69</v>
      </c>
      <c r="D1304" s="229">
        <v>0.69</v>
      </c>
      <c r="E1304" s="229">
        <v>0.69</v>
      </c>
      <c r="F1304" s="229"/>
      <c r="G1304" s="229"/>
      <c r="H1304" s="229"/>
      <c r="I1304" s="229"/>
      <c r="J1304" s="229"/>
      <c r="K1304" s="229"/>
      <c r="L1304" s="229"/>
      <c r="M1304" s="229"/>
      <c r="N1304" s="232"/>
    </row>
    <row r="1305" hidden="1" spans="1:14">
      <c r="A1305" s="235"/>
      <c r="B1305" s="230" t="s">
        <v>1029</v>
      </c>
      <c r="C1305" s="229">
        <v>21.96</v>
      </c>
      <c r="D1305" s="229">
        <v>21.96</v>
      </c>
      <c r="E1305" s="229">
        <v>21.96</v>
      </c>
      <c r="F1305" s="229"/>
      <c r="G1305" s="229"/>
      <c r="H1305" s="229"/>
      <c r="I1305" s="229"/>
      <c r="J1305" s="229"/>
      <c r="K1305" s="229"/>
      <c r="L1305" s="229"/>
      <c r="M1305" s="229"/>
      <c r="N1305" s="232"/>
    </row>
    <row r="1306" hidden="1" spans="1:14">
      <c r="A1306" s="235"/>
      <c r="B1306" s="230" t="s">
        <v>1034</v>
      </c>
      <c r="C1306" s="229">
        <v>1.014</v>
      </c>
      <c r="D1306" s="229">
        <v>1.014</v>
      </c>
      <c r="E1306" s="229">
        <v>1.014</v>
      </c>
      <c r="F1306" s="229"/>
      <c r="G1306" s="229"/>
      <c r="H1306" s="229"/>
      <c r="I1306" s="229"/>
      <c r="J1306" s="229"/>
      <c r="K1306" s="229"/>
      <c r="L1306" s="229"/>
      <c r="M1306" s="229"/>
      <c r="N1306" s="232"/>
    </row>
    <row r="1307" hidden="1" spans="1:14">
      <c r="A1307" s="235"/>
      <c r="B1307" s="230" t="s">
        <v>1037</v>
      </c>
      <c r="C1307" s="229">
        <v>1.79808</v>
      </c>
      <c r="D1307" s="229">
        <v>1.79808</v>
      </c>
      <c r="E1307" s="229">
        <v>1.79808</v>
      </c>
      <c r="F1307" s="229"/>
      <c r="G1307" s="229"/>
      <c r="H1307" s="229"/>
      <c r="I1307" s="229"/>
      <c r="J1307" s="229"/>
      <c r="K1307" s="229"/>
      <c r="L1307" s="229"/>
      <c r="M1307" s="229"/>
      <c r="N1307" s="232"/>
    </row>
    <row r="1308" hidden="1" spans="1:14">
      <c r="A1308" s="235"/>
      <c r="B1308" s="230" t="s">
        <v>1036</v>
      </c>
      <c r="C1308" s="229">
        <v>27.452138</v>
      </c>
      <c r="D1308" s="229">
        <v>27.452138</v>
      </c>
      <c r="E1308" s="229">
        <v>27.452138</v>
      </c>
      <c r="F1308" s="229"/>
      <c r="G1308" s="229"/>
      <c r="H1308" s="229"/>
      <c r="I1308" s="229"/>
      <c r="J1308" s="229"/>
      <c r="K1308" s="229"/>
      <c r="L1308" s="229"/>
      <c r="M1308" s="229"/>
      <c r="N1308" s="232"/>
    </row>
    <row r="1309" hidden="1" spans="1:14">
      <c r="A1309" s="235"/>
      <c r="B1309" s="230" t="s">
        <v>1039</v>
      </c>
      <c r="C1309" s="229">
        <v>4.575356</v>
      </c>
      <c r="D1309" s="229">
        <v>4.575356</v>
      </c>
      <c r="E1309" s="229">
        <v>4.575356</v>
      </c>
      <c r="F1309" s="229"/>
      <c r="G1309" s="229"/>
      <c r="H1309" s="229"/>
      <c r="I1309" s="229"/>
      <c r="J1309" s="229"/>
      <c r="K1309" s="229"/>
      <c r="L1309" s="229"/>
      <c r="M1309" s="229"/>
      <c r="N1309" s="232"/>
    </row>
    <row r="1310" hidden="1" spans="1:14">
      <c r="A1310" s="235"/>
      <c r="B1310" s="230" t="s">
        <v>1028</v>
      </c>
      <c r="C1310" s="229">
        <v>71.9232</v>
      </c>
      <c r="D1310" s="229">
        <v>71.9232</v>
      </c>
      <c r="E1310" s="229">
        <v>71.9232</v>
      </c>
      <c r="F1310" s="229"/>
      <c r="G1310" s="229"/>
      <c r="H1310" s="229"/>
      <c r="I1310" s="229"/>
      <c r="J1310" s="229"/>
      <c r="K1310" s="229"/>
      <c r="L1310" s="229"/>
      <c r="M1310" s="229"/>
      <c r="N1310" s="232"/>
    </row>
    <row r="1311" hidden="1" spans="1:14">
      <c r="A1311" s="235"/>
      <c r="B1311" s="230" t="s">
        <v>1032</v>
      </c>
      <c r="C1311" s="229">
        <v>228.76782</v>
      </c>
      <c r="D1311" s="229">
        <v>228.76782</v>
      </c>
      <c r="E1311" s="229">
        <v>228.76782</v>
      </c>
      <c r="F1311" s="229"/>
      <c r="G1311" s="229"/>
      <c r="H1311" s="229"/>
      <c r="I1311" s="229"/>
      <c r="J1311" s="229"/>
      <c r="K1311" s="229"/>
      <c r="L1311" s="229"/>
      <c r="M1311" s="229"/>
      <c r="N1311" s="232"/>
    </row>
    <row r="1312" hidden="1" spans="1:14">
      <c r="A1312" s="235"/>
      <c r="B1312" s="230" t="s">
        <v>1035</v>
      </c>
      <c r="C1312" s="229">
        <v>2.4</v>
      </c>
      <c r="D1312" s="229">
        <v>2.4</v>
      </c>
      <c r="E1312" s="229">
        <v>2.4</v>
      </c>
      <c r="F1312" s="229"/>
      <c r="G1312" s="229"/>
      <c r="H1312" s="229"/>
      <c r="I1312" s="229"/>
      <c r="J1312" s="229"/>
      <c r="K1312" s="229"/>
      <c r="L1312" s="229"/>
      <c r="M1312" s="229"/>
      <c r="N1312" s="232"/>
    </row>
    <row r="1313" hidden="1" spans="1:14">
      <c r="A1313" s="235"/>
      <c r="B1313" s="230" t="s">
        <v>1027</v>
      </c>
      <c r="C1313" s="229">
        <v>8</v>
      </c>
      <c r="D1313" s="229">
        <v>8</v>
      </c>
      <c r="E1313" s="229">
        <v>8</v>
      </c>
      <c r="F1313" s="229"/>
      <c r="G1313" s="229"/>
      <c r="H1313" s="229"/>
      <c r="I1313" s="229"/>
      <c r="J1313" s="229"/>
      <c r="K1313" s="229"/>
      <c r="L1313" s="229"/>
      <c r="M1313" s="229"/>
      <c r="N1313" s="232"/>
    </row>
    <row r="1314" spans="1:14">
      <c r="A1314" s="227" t="s">
        <v>1099</v>
      </c>
      <c r="B1314" s="231" t="s">
        <v>748</v>
      </c>
      <c r="C1314" s="229">
        <v>174.913407</v>
      </c>
      <c r="D1314" s="229">
        <v>174.913407</v>
      </c>
      <c r="E1314" s="229">
        <v>174.913407</v>
      </c>
      <c r="F1314" s="229"/>
      <c r="G1314" s="229"/>
      <c r="H1314" s="229"/>
      <c r="I1314" s="229"/>
      <c r="J1314" s="229"/>
      <c r="K1314" s="229"/>
      <c r="L1314" s="229"/>
      <c r="M1314" s="229"/>
      <c r="N1314" s="233" t="s">
        <v>578</v>
      </c>
    </row>
    <row r="1315" hidden="1" spans="1:14">
      <c r="A1315" s="235"/>
      <c r="B1315" s="230" t="s">
        <v>1028</v>
      </c>
      <c r="C1315" s="229">
        <v>16.8</v>
      </c>
      <c r="D1315" s="229">
        <v>16.8</v>
      </c>
      <c r="E1315" s="229">
        <v>16.8</v>
      </c>
      <c r="F1315" s="229"/>
      <c r="G1315" s="229"/>
      <c r="H1315" s="229"/>
      <c r="I1315" s="229"/>
      <c r="J1315" s="229"/>
      <c r="K1315" s="229"/>
      <c r="L1315" s="229"/>
      <c r="M1315" s="229"/>
      <c r="N1315" s="232"/>
    </row>
    <row r="1316" hidden="1" spans="1:14">
      <c r="A1316" s="235"/>
      <c r="B1316" s="230" t="s">
        <v>1036</v>
      </c>
      <c r="C1316" s="229">
        <v>12.662856</v>
      </c>
      <c r="D1316" s="229">
        <v>12.662856</v>
      </c>
      <c r="E1316" s="229">
        <v>12.662856</v>
      </c>
      <c r="F1316" s="229"/>
      <c r="G1316" s="229"/>
      <c r="H1316" s="229"/>
      <c r="I1316" s="229"/>
      <c r="J1316" s="229"/>
      <c r="K1316" s="229"/>
      <c r="L1316" s="229"/>
      <c r="M1316" s="229"/>
      <c r="N1316" s="232"/>
    </row>
    <row r="1317" hidden="1" spans="1:14">
      <c r="A1317" s="235"/>
      <c r="B1317" s="230" t="s">
        <v>1035</v>
      </c>
      <c r="C1317" s="229">
        <v>1.4</v>
      </c>
      <c r="D1317" s="229">
        <v>1.4</v>
      </c>
      <c r="E1317" s="229">
        <v>1.4</v>
      </c>
      <c r="F1317" s="229"/>
      <c r="G1317" s="229"/>
      <c r="H1317" s="229"/>
      <c r="I1317" s="229"/>
      <c r="J1317" s="229"/>
      <c r="K1317" s="229"/>
      <c r="L1317" s="229"/>
      <c r="M1317" s="229"/>
      <c r="N1317" s="232"/>
    </row>
    <row r="1318" hidden="1" spans="1:14">
      <c r="A1318" s="235"/>
      <c r="B1318" s="230" t="s">
        <v>1027</v>
      </c>
      <c r="C1318" s="229">
        <v>2</v>
      </c>
      <c r="D1318" s="229">
        <v>2</v>
      </c>
      <c r="E1318" s="229">
        <v>2</v>
      </c>
      <c r="F1318" s="229"/>
      <c r="G1318" s="229"/>
      <c r="H1318" s="229"/>
      <c r="I1318" s="229"/>
      <c r="J1318" s="229"/>
      <c r="K1318" s="229"/>
      <c r="L1318" s="229"/>
      <c r="M1318" s="229"/>
      <c r="N1318" s="232"/>
    </row>
    <row r="1319" hidden="1" spans="1:14">
      <c r="A1319" s="235"/>
      <c r="B1319" s="230" t="s">
        <v>1038</v>
      </c>
      <c r="C1319" s="229">
        <v>0.36</v>
      </c>
      <c r="D1319" s="229">
        <v>0.36</v>
      </c>
      <c r="E1319" s="229">
        <v>0.36</v>
      </c>
      <c r="F1319" s="229"/>
      <c r="G1319" s="229"/>
      <c r="H1319" s="229"/>
      <c r="I1319" s="229"/>
      <c r="J1319" s="229"/>
      <c r="K1319" s="229"/>
      <c r="L1319" s="229"/>
      <c r="M1319" s="229"/>
      <c r="N1319" s="232"/>
    </row>
    <row r="1320" hidden="1" spans="1:14">
      <c r="A1320" s="235"/>
      <c r="B1320" s="230" t="s">
        <v>1032</v>
      </c>
      <c r="C1320" s="229">
        <v>105.5238</v>
      </c>
      <c r="D1320" s="229">
        <v>105.5238</v>
      </c>
      <c r="E1320" s="229">
        <v>105.5238</v>
      </c>
      <c r="F1320" s="229"/>
      <c r="G1320" s="229"/>
      <c r="H1320" s="229"/>
      <c r="I1320" s="229"/>
      <c r="J1320" s="229"/>
      <c r="K1320" s="229"/>
      <c r="L1320" s="229"/>
      <c r="M1320" s="229"/>
      <c r="N1320" s="232"/>
    </row>
    <row r="1321" hidden="1" spans="1:14">
      <c r="A1321" s="235"/>
      <c r="B1321" s="230" t="s">
        <v>1037</v>
      </c>
      <c r="C1321" s="229">
        <v>0.42</v>
      </c>
      <c r="D1321" s="229">
        <v>0.42</v>
      </c>
      <c r="E1321" s="229">
        <v>0.42</v>
      </c>
      <c r="F1321" s="229"/>
      <c r="G1321" s="229"/>
      <c r="H1321" s="229"/>
      <c r="I1321" s="229"/>
      <c r="J1321" s="229"/>
      <c r="K1321" s="229"/>
      <c r="L1321" s="229"/>
      <c r="M1321" s="229"/>
      <c r="N1321" s="232"/>
    </row>
    <row r="1322" hidden="1" spans="1:14">
      <c r="A1322" s="235"/>
      <c r="B1322" s="230" t="s">
        <v>1034</v>
      </c>
      <c r="C1322" s="229">
        <v>1.014</v>
      </c>
      <c r="D1322" s="229">
        <v>1.014</v>
      </c>
      <c r="E1322" s="229">
        <v>1.014</v>
      </c>
      <c r="F1322" s="229"/>
      <c r="G1322" s="229"/>
      <c r="H1322" s="229"/>
      <c r="I1322" s="229"/>
      <c r="J1322" s="229"/>
      <c r="K1322" s="229"/>
      <c r="L1322" s="229"/>
      <c r="M1322" s="229"/>
      <c r="N1322" s="232"/>
    </row>
    <row r="1323" hidden="1" spans="1:14">
      <c r="A1323" s="235"/>
      <c r="B1323" s="230" t="s">
        <v>1039</v>
      </c>
      <c r="C1323" s="229">
        <v>1.41078</v>
      </c>
      <c r="D1323" s="229">
        <v>1.41078</v>
      </c>
      <c r="E1323" s="229">
        <v>1.41078</v>
      </c>
      <c r="F1323" s="229"/>
      <c r="G1323" s="229"/>
      <c r="H1323" s="229"/>
      <c r="I1323" s="229"/>
      <c r="J1323" s="229"/>
      <c r="K1323" s="229"/>
      <c r="L1323" s="229"/>
      <c r="M1323" s="229"/>
      <c r="N1323" s="232"/>
    </row>
    <row r="1324" hidden="1" spans="1:14">
      <c r="A1324" s="235"/>
      <c r="B1324" s="230" t="s">
        <v>1033</v>
      </c>
      <c r="C1324" s="229">
        <v>26.841971</v>
      </c>
      <c r="D1324" s="229">
        <v>26.841971</v>
      </c>
      <c r="E1324" s="229">
        <v>26.841971</v>
      </c>
      <c r="F1324" s="229"/>
      <c r="G1324" s="229"/>
      <c r="H1324" s="229"/>
      <c r="I1324" s="229"/>
      <c r="J1324" s="229"/>
      <c r="K1324" s="229"/>
      <c r="L1324" s="229"/>
      <c r="M1324" s="229"/>
      <c r="N1324" s="232"/>
    </row>
    <row r="1325" hidden="1" spans="1:14">
      <c r="A1325" s="235"/>
      <c r="B1325" s="230" t="s">
        <v>1029</v>
      </c>
      <c r="C1325" s="229">
        <v>6.48</v>
      </c>
      <c r="D1325" s="229">
        <v>6.48</v>
      </c>
      <c r="E1325" s="229">
        <v>6.48</v>
      </c>
      <c r="F1325" s="229"/>
      <c r="G1325" s="229"/>
      <c r="H1325" s="229"/>
      <c r="I1325" s="229"/>
      <c r="J1325" s="229"/>
      <c r="K1325" s="229"/>
      <c r="L1325" s="229"/>
      <c r="M1325" s="229"/>
      <c r="N1325" s="232"/>
    </row>
    <row r="1326" spans="1:14">
      <c r="A1326" s="227" t="s">
        <v>1100</v>
      </c>
      <c r="B1326" s="231" t="s">
        <v>749</v>
      </c>
      <c r="C1326" s="229">
        <v>140.551932</v>
      </c>
      <c r="D1326" s="229">
        <v>140.551932</v>
      </c>
      <c r="E1326" s="229">
        <v>140.551932</v>
      </c>
      <c r="F1326" s="229"/>
      <c r="G1326" s="229"/>
      <c r="H1326" s="229"/>
      <c r="I1326" s="229"/>
      <c r="J1326" s="229"/>
      <c r="K1326" s="229"/>
      <c r="L1326" s="229"/>
      <c r="M1326" s="229"/>
      <c r="N1326" s="233" t="s">
        <v>578</v>
      </c>
    </row>
    <row r="1327" hidden="1" spans="1:14">
      <c r="A1327" s="235"/>
      <c r="B1327" s="230" t="s">
        <v>1032</v>
      </c>
      <c r="C1327" s="229">
        <v>86.163312</v>
      </c>
      <c r="D1327" s="229">
        <v>86.163312</v>
      </c>
      <c r="E1327" s="229">
        <v>86.163312</v>
      </c>
      <c r="F1327" s="229"/>
      <c r="G1327" s="229"/>
      <c r="H1327" s="229"/>
      <c r="I1327" s="229"/>
      <c r="J1327" s="229"/>
      <c r="K1327" s="229"/>
      <c r="L1327" s="229"/>
      <c r="M1327" s="229"/>
      <c r="N1327" s="232"/>
    </row>
    <row r="1328" hidden="1" spans="1:14">
      <c r="A1328" s="235"/>
      <c r="B1328" s="230" t="s">
        <v>1033</v>
      </c>
      <c r="C1328" s="229">
        <v>23.090529</v>
      </c>
      <c r="D1328" s="229">
        <v>23.090529</v>
      </c>
      <c r="E1328" s="229">
        <v>23.090529</v>
      </c>
      <c r="F1328" s="229"/>
      <c r="G1328" s="229"/>
      <c r="H1328" s="229"/>
      <c r="I1328" s="229"/>
      <c r="J1328" s="229"/>
      <c r="K1328" s="229"/>
      <c r="L1328" s="229"/>
      <c r="M1328" s="229"/>
      <c r="N1328" s="232"/>
    </row>
    <row r="1329" hidden="1" spans="1:14">
      <c r="A1329" s="235"/>
      <c r="B1329" s="230" t="s">
        <v>1036</v>
      </c>
      <c r="C1329" s="229">
        <v>10.339597</v>
      </c>
      <c r="D1329" s="229">
        <v>10.339597</v>
      </c>
      <c r="E1329" s="229">
        <v>10.339597</v>
      </c>
      <c r="F1329" s="229"/>
      <c r="G1329" s="229"/>
      <c r="H1329" s="229"/>
      <c r="I1329" s="229"/>
      <c r="J1329" s="229"/>
      <c r="K1329" s="229"/>
      <c r="L1329" s="229"/>
      <c r="M1329" s="229"/>
      <c r="N1329" s="232"/>
    </row>
    <row r="1330" hidden="1" spans="1:14">
      <c r="A1330" s="235"/>
      <c r="B1330" s="230" t="s">
        <v>1035</v>
      </c>
      <c r="C1330" s="229">
        <v>1.1</v>
      </c>
      <c r="D1330" s="229">
        <v>1.1</v>
      </c>
      <c r="E1330" s="229">
        <v>1.1</v>
      </c>
      <c r="F1330" s="229"/>
      <c r="G1330" s="229"/>
      <c r="H1330" s="229"/>
      <c r="I1330" s="229"/>
      <c r="J1330" s="229"/>
      <c r="K1330" s="229"/>
      <c r="L1330" s="229"/>
      <c r="M1330" s="229"/>
      <c r="N1330" s="232"/>
    </row>
    <row r="1331" hidden="1" spans="1:14">
      <c r="A1331" s="235"/>
      <c r="B1331" s="230" t="s">
        <v>1028</v>
      </c>
      <c r="C1331" s="229">
        <v>13.2</v>
      </c>
      <c r="D1331" s="229">
        <v>13.2</v>
      </c>
      <c r="E1331" s="229">
        <v>13.2</v>
      </c>
      <c r="F1331" s="229"/>
      <c r="G1331" s="229"/>
      <c r="H1331" s="229"/>
      <c r="I1331" s="229"/>
      <c r="J1331" s="229"/>
      <c r="K1331" s="229"/>
      <c r="L1331" s="229"/>
      <c r="M1331" s="229"/>
      <c r="N1331" s="232"/>
    </row>
    <row r="1332" hidden="1" spans="1:14">
      <c r="A1332" s="235"/>
      <c r="B1332" s="230" t="s">
        <v>1037</v>
      </c>
      <c r="C1332" s="229">
        <v>0.33</v>
      </c>
      <c r="D1332" s="229">
        <v>0.33</v>
      </c>
      <c r="E1332" s="229">
        <v>0.33</v>
      </c>
      <c r="F1332" s="229"/>
      <c r="G1332" s="229"/>
      <c r="H1332" s="229"/>
      <c r="I1332" s="229"/>
      <c r="J1332" s="229"/>
      <c r="K1332" s="229"/>
      <c r="L1332" s="229"/>
      <c r="M1332" s="229"/>
      <c r="N1332" s="232"/>
    </row>
    <row r="1333" hidden="1" spans="1:14">
      <c r="A1333" s="235"/>
      <c r="B1333" s="230" t="s">
        <v>1039</v>
      </c>
      <c r="C1333" s="229">
        <v>1.198494</v>
      </c>
      <c r="D1333" s="229">
        <v>1.198494</v>
      </c>
      <c r="E1333" s="229">
        <v>1.198494</v>
      </c>
      <c r="F1333" s="229"/>
      <c r="G1333" s="229"/>
      <c r="H1333" s="229"/>
      <c r="I1333" s="229"/>
      <c r="J1333" s="229"/>
      <c r="K1333" s="229"/>
      <c r="L1333" s="229"/>
      <c r="M1333" s="229"/>
      <c r="N1333" s="232"/>
    </row>
    <row r="1334" hidden="1" spans="1:14">
      <c r="A1334" s="235"/>
      <c r="B1334" s="230" t="s">
        <v>1029</v>
      </c>
      <c r="C1334" s="229">
        <v>4.86</v>
      </c>
      <c r="D1334" s="229">
        <v>4.86</v>
      </c>
      <c r="E1334" s="229">
        <v>4.86</v>
      </c>
      <c r="F1334" s="229"/>
      <c r="G1334" s="229"/>
      <c r="H1334" s="229"/>
      <c r="I1334" s="229"/>
      <c r="J1334" s="229"/>
      <c r="K1334" s="229"/>
      <c r="L1334" s="229"/>
      <c r="M1334" s="229"/>
      <c r="N1334" s="232"/>
    </row>
    <row r="1335" hidden="1" spans="1:14">
      <c r="A1335" s="235"/>
      <c r="B1335" s="230" t="s">
        <v>1038</v>
      </c>
      <c r="C1335" s="229">
        <v>0.27</v>
      </c>
      <c r="D1335" s="229">
        <v>0.27</v>
      </c>
      <c r="E1335" s="229">
        <v>0.27</v>
      </c>
      <c r="F1335" s="229"/>
      <c r="G1335" s="229"/>
      <c r="H1335" s="229"/>
      <c r="I1335" s="229"/>
      <c r="J1335" s="229"/>
      <c r="K1335" s="229"/>
      <c r="L1335" s="229"/>
      <c r="M1335" s="229"/>
      <c r="N1335" s="232"/>
    </row>
    <row r="1336" spans="1:14">
      <c r="A1336" s="227" t="s">
        <v>1101</v>
      </c>
      <c r="B1336" s="231" t="s">
        <v>750</v>
      </c>
      <c r="C1336" s="229">
        <v>550.006641</v>
      </c>
      <c r="D1336" s="229">
        <v>550.006641</v>
      </c>
      <c r="E1336" s="229">
        <v>550.006641</v>
      </c>
      <c r="F1336" s="229"/>
      <c r="G1336" s="229"/>
      <c r="H1336" s="229"/>
      <c r="I1336" s="229"/>
      <c r="J1336" s="229"/>
      <c r="K1336" s="229"/>
      <c r="L1336" s="229"/>
      <c r="M1336" s="229"/>
      <c r="N1336" s="233" t="s">
        <v>578</v>
      </c>
    </row>
    <row r="1337" hidden="1" spans="1:14">
      <c r="A1337" s="235"/>
      <c r="B1337" s="230" t="s">
        <v>1039</v>
      </c>
      <c r="C1337" s="229">
        <v>5.014041</v>
      </c>
      <c r="D1337" s="229">
        <v>5.014041</v>
      </c>
      <c r="E1337" s="229">
        <v>5.014041</v>
      </c>
      <c r="F1337" s="229"/>
      <c r="G1337" s="229"/>
      <c r="H1337" s="229"/>
      <c r="I1337" s="229"/>
      <c r="J1337" s="229"/>
      <c r="K1337" s="229"/>
      <c r="L1337" s="229"/>
      <c r="M1337" s="229"/>
      <c r="N1337" s="232"/>
    </row>
    <row r="1338" hidden="1" spans="1:14">
      <c r="A1338" s="235"/>
      <c r="B1338" s="230" t="s">
        <v>1038</v>
      </c>
      <c r="C1338" s="229">
        <v>0.36</v>
      </c>
      <c r="D1338" s="229">
        <v>0.36</v>
      </c>
      <c r="E1338" s="229">
        <v>0.36</v>
      </c>
      <c r="F1338" s="229"/>
      <c r="G1338" s="229"/>
      <c r="H1338" s="229"/>
      <c r="I1338" s="229"/>
      <c r="J1338" s="229"/>
      <c r="K1338" s="229"/>
      <c r="L1338" s="229"/>
      <c r="M1338" s="229"/>
      <c r="N1338" s="232"/>
    </row>
    <row r="1339" hidden="1" spans="1:14">
      <c r="A1339" s="235"/>
      <c r="B1339" s="230" t="s">
        <v>1037</v>
      </c>
      <c r="C1339" s="229">
        <v>0.78</v>
      </c>
      <c r="D1339" s="229">
        <v>0.78</v>
      </c>
      <c r="E1339" s="229">
        <v>0.78</v>
      </c>
      <c r="F1339" s="229"/>
      <c r="G1339" s="229"/>
      <c r="H1339" s="229"/>
      <c r="I1339" s="229"/>
      <c r="J1339" s="229"/>
      <c r="K1339" s="229"/>
      <c r="L1339" s="229"/>
      <c r="M1339" s="229"/>
      <c r="N1339" s="232"/>
    </row>
    <row r="1340" hidden="1" spans="1:14">
      <c r="A1340" s="235"/>
      <c r="B1340" s="230" t="s">
        <v>1028</v>
      </c>
      <c r="C1340" s="229">
        <v>31.2</v>
      </c>
      <c r="D1340" s="229">
        <v>31.2</v>
      </c>
      <c r="E1340" s="229">
        <v>31.2</v>
      </c>
      <c r="F1340" s="229"/>
      <c r="G1340" s="229"/>
      <c r="H1340" s="229"/>
      <c r="I1340" s="229"/>
      <c r="J1340" s="229"/>
      <c r="K1340" s="229"/>
      <c r="L1340" s="229"/>
      <c r="M1340" s="229"/>
      <c r="N1340" s="232"/>
    </row>
    <row r="1341" hidden="1" spans="1:14">
      <c r="A1341" s="235"/>
      <c r="B1341" s="230" t="s">
        <v>1035</v>
      </c>
      <c r="C1341" s="229">
        <v>2.6</v>
      </c>
      <c r="D1341" s="229">
        <v>2.6</v>
      </c>
      <c r="E1341" s="229">
        <v>2.6</v>
      </c>
      <c r="F1341" s="229"/>
      <c r="G1341" s="229"/>
      <c r="H1341" s="229"/>
      <c r="I1341" s="229"/>
      <c r="J1341" s="229"/>
      <c r="K1341" s="229"/>
      <c r="L1341" s="229"/>
      <c r="M1341" s="229"/>
      <c r="N1341" s="232"/>
    </row>
    <row r="1342" hidden="1" spans="1:14">
      <c r="A1342" s="235"/>
      <c r="B1342" s="230" t="s">
        <v>1032</v>
      </c>
      <c r="C1342" s="229">
        <v>360.029532</v>
      </c>
      <c r="D1342" s="229">
        <v>360.029532</v>
      </c>
      <c r="E1342" s="229">
        <v>360.029532</v>
      </c>
      <c r="F1342" s="229"/>
      <c r="G1342" s="229"/>
      <c r="H1342" s="229"/>
      <c r="I1342" s="229"/>
      <c r="J1342" s="229"/>
      <c r="K1342" s="229"/>
      <c r="L1342" s="229"/>
      <c r="M1342" s="229"/>
      <c r="N1342" s="232"/>
    </row>
    <row r="1343" hidden="1" spans="1:14">
      <c r="A1343" s="235"/>
      <c r="B1343" s="230" t="s">
        <v>1036</v>
      </c>
      <c r="C1343" s="229">
        <v>43.203544</v>
      </c>
      <c r="D1343" s="229">
        <v>43.203544</v>
      </c>
      <c r="E1343" s="229">
        <v>43.203544</v>
      </c>
      <c r="F1343" s="229"/>
      <c r="G1343" s="229"/>
      <c r="H1343" s="229"/>
      <c r="I1343" s="229"/>
      <c r="J1343" s="229"/>
      <c r="K1343" s="229"/>
      <c r="L1343" s="229"/>
      <c r="M1343" s="229"/>
      <c r="N1343" s="232"/>
    </row>
    <row r="1344" hidden="1" spans="1:14">
      <c r="A1344" s="235"/>
      <c r="B1344" s="230" t="s">
        <v>1033</v>
      </c>
      <c r="C1344" s="229">
        <v>86.569524</v>
      </c>
      <c r="D1344" s="229">
        <v>86.569524</v>
      </c>
      <c r="E1344" s="229">
        <v>86.569524</v>
      </c>
      <c r="F1344" s="229"/>
      <c r="G1344" s="229"/>
      <c r="H1344" s="229"/>
      <c r="I1344" s="229"/>
      <c r="J1344" s="229"/>
      <c r="K1344" s="229"/>
      <c r="L1344" s="229"/>
      <c r="M1344" s="229"/>
      <c r="N1344" s="232"/>
    </row>
    <row r="1345" hidden="1" spans="1:14">
      <c r="A1345" s="235"/>
      <c r="B1345" s="230" t="s">
        <v>1029</v>
      </c>
      <c r="C1345" s="229">
        <v>20.25</v>
      </c>
      <c r="D1345" s="229">
        <v>20.25</v>
      </c>
      <c r="E1345" s="229">
        <v>20.25</v>
      </c>
      <c r="F1345" s="229"/>
      <c r="G1345" s="229"/>
      <c r="H1345" s="229"/>
      <c r="I1345" s="229"/>
      <c r="J1345" s="229"/>
      <c r="K1345" s="229"/>
      <c r="L1345" s="229"/>
      <c r="M1345" s="229"/>
      <c r="N1345" s="232"/>
    </row>
    <row r="1346" spans="1:14">
      <c r="A1346" s="227" t="s">
        <v>1102</v>
      </c>
      <c r="B1346" s="231" t="s">
        <v>751</v>
      </c>
      <c r="C1346" s="229">
        <v>277.670151</v>
      </c>
      <c r="D1346" s="229">
        <v>277.670151</v>
      </c>
      <c r="E1346" s="229">
        <v>277.670151</v>
      </c>
      <c r="F1346" s="229"/>
      <c r="G1346" s="229"/>
      <c r="H1346" s="229"/>
      <c r="I1346" s="229"/>
      <c r="J1346" s="229"/>
      <c r="K1346" s="229"/>
      <c r="L1346" s="229"/>
      <c r="M1346" s="229"/>
      <c r="N1346" s="233" t="s">
        <v>578</v>
      </c>
    </row>
    <row r="1347" hidden="1" spans="1:14">
      <c r="A1347" s="235"/>
      <c r="B1347" s="230" t="s">
        <v>1027</v>
      </c>
      <c r="C1347" s="229">
        <v>2</v>
      </c>
      <c r="D1347" s="229">
        <v>2</v>
      </c>
      <c r="E1347" s="229">
        <v>2</v>
      </c>
      <c r="F1347" s="229"/>
      <c r="G1347" s="229"/>
      <c r="H1347" s="229"/>
      <c r="I1347" s="229"/>
      <c r="J1347" s="229"/>
      <c r="K1347" s="229"/>
      <c r="L1347" s="229"/>
      <c r="M1347" s="229"/>
      <c r="N1347" s="232"/>
    </row>
    <row r="1348" hidden="1" spans="1:14">
      <c r="A1348" s="235"/>
      <c r="B1348" s="230" t="s">
        <v>1039</v>
      </c>
      <c r="C1348" s="229">
        <v>2.277649</v>
      </c>
      <c r="D1348" s="229">
        <v>2.277649</v>
      </c>
      <c r="E1348" s="229">
        <v>2.277649</v>
      </c>
      <c r="F1348" s="229"/>
      <c r="G1348" s="229"/>
      <c r="H1348" s="229"/>
      <c r="I1348" s="229"/>
      <c r="J1348" s="229"/>
      <c r="K1348" s="229"/>
      <c r="L1348" s="229"/>
      <c r="M1348" s="229"/>
      <c r="N1348" s="232"/>
    </row>
    <row r="1349" hidden="1" spans="1:14">
      <c r="A1349" s="235"/>
      <c r="B1349" s="230" t="s">
        <v>1038</v>
      </c>
      <c r="C1349" s="229">
        <v>0.48</v>
      </c>
      <c r="D1349" s="229">
        <v>0.48</v>
      </c>
      <c r="E1349" s="229">
        <v>0.48</v>
      </c>
      <c r="F1349" s="229"/>
      <c r="G1349" s="229"/>
      <c r="H1349" s="229"/>
      <c r="I1349" s="229"/>
      <c r="J1349" s="229"/>
      <c r="K1349" s="229"/>
      <c r="L1349" s="229"/>
      <c r="M1349" s="229"/>
      <c r="N1349" s="232"/>
    </row>
    <row r="1350" hidden="1" spans="1:14">
      <c r="A1350" s="235"/>
      <c r="B1350" s="230" t="s">
        <v>1034</v>
      </c>
      <c r="C1350" s="229">
        <v>1.014</v>
      </c>
      <c r="D1350" s="229">
        <v>1.014</v>
      </c>
      <c r="E1350" s="229">
        <v>1.014</v>
      </c>
      <c r="F1350" s="229"/>
      <c r="G1350" s="229"/>
      <c r="H1350" s="229"/>
      <c r="I1350" s="229"/>
      <c r="J1350" s="229"/>
      <c r="K1350" s="229"/>
      <c r="L1350" s="229"/>
      <c r="M1350" s="229"/>
      <c r="N1350" s="232"/>
    </row>
    <row r="1351" hidden="1" spans="1:14">
      <c r="A1351" s="235"/>
      <c r="B1351" s="230" t="s">
        <v>1036</v>
      </c>
      <c r="C1351" s="229">
        <v>19.438386</v>
      </c>
      <c r="D1351" s="229">
        <v>19.438386</v>
      </c>
      <c r="E1351" s="229">
        <v>19.438386</v>
      </c>
      <c r="F1351" s="229"/>
      <c r="G1351" s="229"/>
      <c r="H1351" s="229"/>
      <c r="I1351" s="229"/>
      <c r="J1351" s="229"/>
      <c r="K1351" s="229"/>
      <c r="L1351" s="229"/>
      <c r="M1351" s="229"/>
      <c r="N1351" s="232"/>
    </row>
    <row r="1352" hidden="1" spans="1:14">
      <c r="A1352" s="235"/>
      <c r="B1352" s="230" t="s">
        <v>1029</v>
      </c>
      <c r="C1352" s="229">
        <v>8.91</v>
      </c>
      <c r="D1352" s="229">
        <v>8.91</v>
      </c>
      <c r="E1352" s="229">
        <v>8.91</v>
      </c>
      <c r="F1352" s="229"/>
      <c r="G1352" s="229"/>
      <c r="H1352" s="229"/>
      <c r="I1352" s="229"/>
      <c r="J1352" s="229"/>
      <c r="K1352" s="229"/>
      <c r="L1352" s="229"/>
      <c r="M1352" s="229"/>
      <c r="N1352" s="232"/>
    </row>
    <row r="1353" hidden="1" spans="1:14">
      <c r="A1353" s="235"/>
      <c r="B1353" s="230" t="s">
        <v>1035</v>
      </c>
      <c r="C1353" s="229">
        <v>2.6</v>
      </c>
      <c r="D1353" s="229">
        <v>2.6</v>
      </c>
      <c r="E1353" s="229">
        <v>2.6</v>
      </c>
      <c r="F1353" s="229"/>
      <c r="G1353" s="229"/>
      <c r="H1353" s="229"/>
      <c r="I1353" s="229"/>
      <c r="J1353" s="229"/>
      <c r="K1353" s="229"/>
      <c r="L1353" s="229"/>
      <c r="M1353" s="229"/>
      <c r="N1353" s="232"/>
    </row>
    <row r="1354" hidden="1" spans="1:14">
      <c r="A1354" s="235"/>
      <c r="B1354" s="230" t="s">
        <v>1033</v>
      </c>
      <c r="C1354" s="229">
        <v>46.983568</v>
      </c>
      <c r="D1354" s="229">
        <v>46.983568</v>
      </c>
      <c r="E1354" s="229">
        <v>46.983568</v>
      </c>
      <c r="F1354" s="229"/>
      <c r="G1354" s="229"/>
      <c r="H1354" s="229"/>
      <c r="I1354" s="229"/>
      <c r="J1354" s="229"/>
      <c r="K1354" s="229"/>
      <c r="L1354" s="229"/>
      <c r="M1354" s="229"/>
      <c r="N1354" s="232"/>
    </row>
    <row r="1355" hidden="1" spans="1:14">
      <c r="A1355" s="235"/>
      <c r="B1355" s="230" t="s">
        <v>1032</v>
      </c>
      <c r="C1355" s="229">
        <v>161.986548</v>
      </c>
      <c r="D1355" s="229">
        <v>161.986548</v>
      </c>
      <c r="E1355" s="229">
        <v>161.986548</v>
      </c>
      <c r="F1355" s="229"/>
      <c r="G1355" s="229"/>
      <c r="H1355" s="229"/>
      <c r="I1355" s="229"/>
      <c r="J1355" s="229"/>
      <c r="K1355" s="229"/>
      <c r="L1355" s="229"/>
      <c r="M1355" s="229"/>
      <c r="N1355" s="232"/>
    </row>
    <row r="1356" hidden="1" spans="1:14">
      <c r="A1356" s="235"/>
      <c r="B1356" s="230" t="s">
        <v>1037</v>
      </c>
      <c r="C1356" s="229">
        <v>0.78</v>
      </c>
      <c r="D1356" s="229">
        <v>0.78</v>
      </c>
      <c r="E1356" s="229">
        <v>0.78</v>
      </c>
      <c r="F1356" s="229"/>
      <c r="G1356" s="229"/>
      <c r="H1356" s="229"/>
      <c r="I1356" s="229"/>
      <c r="J1356" s="229"/>
      <c r="K1356" s="229"/>
      <c r="L1356" s="229"/>
      <c r="M1356" s="229"/>
      <c r="N1356" s="232"/>
    </row>
    <row r="1357" hidden="1" spans="1:14">
      <c r="A1357" s="235"/>
      <c r="B1357" s="230" t="s">
        <v>1028</v>
      </c>
      <c r="C1357" s="229">
        <v>31.2</v>
      </c>
      <c r="D1357" s="229">
        <v>31.2</v>
      </c>
      <c r="E1357" s="229">
        <v>31.2</v>
      </c>
      <c r="F1357" s="229"/>
      <c r="G1357" s="229"/>
      <c r="H1357" s="229"/>
      <c r="I1357" s="229"/>
      <c r="J1357" s="229"/>
      <c r="K1357" s="229"/>
      <c r="L1357" s="229"/>
      <c r="M1357" s="229"/>
      <c r="N1357" s="232"/>
    </row>
    <row r="1358" spans="1:14">
      <c r="A1358" s="227" t="s">
        <v>1103</v>
      </c>
      <c r="B1358" s="231" t="s">
        <v>752</v>
      </c>
      <c r="C1358" s="229">
        <v>123.518528</v>
      </c>
      <c r="D1358" s="229">
        <v>123.518528</v>
      </c>
      <c r="E1358" s="229">
        <v>123.518528</v>
      </c>
      <c r="F1358" s="229"/>
      <c r="G1358" s="229"/>
      <c r="H1358" s="229"/>
      <c r="I1358" s="229"/>
      <c r="J1358" s="229"/>
      <c r="K1358" s="229"/>
      <c r="L1358" s="229"/>
      <c r="M1358" s="229"/>
      <c r="N1358" s="233" t="s">
        <v>578</v>
      </c>
    </row>
    <row r="1359" hidden="1" spans="1:14">
      <c r="A1359" s="235"/>
      <c r="B1359" s="230" t="s">
        <v>1032</v>
      </c>
      <c r="C1359" s="229">
        <v>87.265656</v>
      </c>
      <c r="D1359" s="229">
        <v>87.265656</v>
      </c>
      <c r="E1359" s="229">
        <v>87.265656</v>
      </c>
      <c r="F1359" s="229"/>
      <c r="G1359" s="229"/>
      <c r="H1359" s="229"/>
      <c r="I1359" s="229"/>
      <c r="J1359" s="229"/>
      <c r="K1359" s="229"/>
      <c r="L1359" s="229"/>
      <c r="M1359" s="229"/>
      <c r="N1359" s="232"/>
    </row>
    <row r="1360" hidden="1" spans="1:14">
      <c r="A1360" s="235"/>
      <c r="B1360" s="230" t="s">
        <v>1038</v>
      </c>
      <c r="C1360" s="229">
        <v>0.03</v>
      </c>
      <c r="D1360" s="229">
        <v>0.03</v>
      </c>
      <c r="E1360" s="229">
        <v>0.03</v>
      </c>
      <c r="F1360" s="229"/>
      <c r="G1360" s="229"/>
      <c r="H1360" s="229"/>
      <c r="I1360" s="229"/>
      <c r="J1360" s="229"/>
      <c r="K1360" s="229"/>
      <c r="L1360" s="229"/>
      <c r="M1360" s="229"/>
      <c r="N1360" s="232"/>
    </row>
    <row r="1361" hidden="1" spans="1:14">
      <c r="A1361" s="235"/>
      <c r="B1361" s="230" t="s">
        <v>1037</v>
      </c>
      <c r="C1361" s="229">
        <v>0.03</v>
      </c>
      <c r="D1361" s="229">
        <v>0.03</v>
      </c>
      <c r="E1361" s="229">
        <v>0.03</v>
      </c>
      <c r="F1361" s="229"/>
      <c r="G1361" s="229"/>
      <c r="H1361" s="229"/>
      <c r="I1361" s="229"/>
      <c r="J1361" s="229"/>
      <c r="K1361" s="229"/>
      <c r="L1361" s="229"/>
      <c r="M1361" s="229"/>
      <c r="N1361" s="232"/>
    </row>
    <row r="1362" hidden="1" spans="1:14">
      <c r="A1362" s="235"/>
      <c r="B1362" s="230" t="s">
        <v>1036</v>
      </c>
      <c r="C1362" s="229">
        <v>10.471879</v>
      </c>
      <c r="D1362" s="229">
        <v>10.471879</v>
      </c>
      <c r="E1362" s="229">
        <v>10.471879</v>
      </c>
      <c r="F1362" s="229"/>
      <c r="G1362" s="229"/>
      <c r="H1362" s="229"/>
      <c r="I1362" s="229"/>
      <c r="J1362" s="229"/>
      <c r="K1362" s="229"/>
      <c r="L1362" s="229"/>
      <c r="M1362" s="229"/>
      <c r="N1362" s="232"/>
    </row>
    <row r="1363" hidden="1" spans="1:14">
      <c r="A1363" s="235"/>
      <c r="B1363" s="230" t="s">
        <v>1028</v>
      </c>
      <c r="C1363" s="229">
        <v>1.2</v>
      </c>
      <c r="D1363" s="229">
        <v>1.2</v>
      </c>
      <c r="E1363" s="229">
        <v>1.2</v>
      </c>
      <c r="F1363" s="229"/>
      <c r="G1363" s="229"/>
      <c r="H1363" s="229"/>
      <c r="I1363" s="229"/>
      <c r="J1363" s="229"/>
      <c r="K1363" s="229"/>
      <c r="L1363" s="229"/>
      <c r="M1363" s="229"/>
      <c r="N1363" s="232"/>
    </row>
    <row r="1364" hidden="1" spans="1:14">
      <c r="A1364" s="235"/>
      <c r="B1364" s="230" t="s">
        <v>1029</v>
      </c>
      <c r="C1364" s="229">
        <v>4.86</v>
      </c>
      <c r="D1364" s="229">
        <v>4.86</v>
      </c>
      <c r="E1364" s="229">
        <v>4.86</v>
      </c>
      <c r="F1364" s="229"/>
      <c r="G1364" s="229"/>
      <c r="H1364" s="229"/>
      <c r="I1364" s="229"/>
      <c r="J1364" s="229"/>
      <c r="K1364" s="229"/>
      <c r="L1364" s="229"/>
      <c r="M1364" s="229"/>
      <c r="N1364" s="232"/>
    </row>
    <row r="1365" hidden="1" spans="1:14">
      <c r="A1365" s="235"/>
      <c r="B1365" s="230" t="s">
        <v>1039</v>
      </c>
      <c r="C1365" s="229">
        <v>1.220541</v>
      </c>
      <c r="D1365" s="229">
        <v>1.220541</v>
      </c>
      <c r="E1365" s="229">
        <v>1.220541</v>
      </c>
      <c r="F1365" s="229"/>
      <c r="G1365" s="229"/>
      <c r="H1365" s="229"/>
      <c r="I1365" s="229"/>
      <c r="J1365" s="229"/>
      <c r="K1365" s="229"/>
      <c r="L1365" s="229"/>
      <c r="M1365" s="229"/>
      <c r="N1365" s="232"/>
    </row>
    <row r="1366" hidden="1" spans="1:14">
      <c r="A1366" s="235"/>
      <c r="B1366" s="230" t="s">
        <v>1035</v>
      </c>
      <c r="C1366" s="229">
        <v>0.1</v>
      </c>
      <c r="D1366" s="229">
        <v>0.1</v>
      </c>
      <c r="E1366" s="229">
        <v>0.1</v>
      </c>
      <c r="F1366" s="229"/>
      <c r="G1366" s="229"/>
      <c r="H1366" s="229"/>
      <c r="I1366" s="229"/>
      <c r="J1366" s="229"/>
      <c r="K1366" s="229"/>
      <c r="L1366" s="229"/>
      <c r="M1366" s="229"/>
      <c r="N1366" s="232"/>
    </row>
    <row r="1367" hidden="1" spans="1:14">
      <c r="A1367" s="235"/>
      <c r="B1367" s="230" t="s">
        <v>1033</v>
      </c>
      <c r="C1367" s="229">
        <v>18.340452</v>
      </c>
      <c r="D1367" s="229">
        <v>18.340452</v>
      </c>
      <c r="E1367" s="229">
        <v>18.340452</v>
      </c>
      <c r="F1367" s="229"/>
      <c r="G1367" s="229"/>
      <c r="H1367" s="229"/>
      <c r="I1367" s="229"/>
      <c r="J1367" s="229"/>
      <c r="K1367" s="229"/>
      <c r="L1367" s="229"/>
      <c r="M1367" s="229"/>
      <c r="N1367" s="232"/>
    </row>
    <row r="1368" spans="1:14">
      <c r="A1368" s="227" t="s">
        <v>1104</v>
      </c>
      <c r="B1368" s="231" t="s">
        <v>753</v>
      </c>
      <c r="C1368" s="229">
        <v>1957.160331</v>
      </c>
      <c r="D1368" s="229">
        <v>1957.160331</v>
      </c>
      <c r="E1368" s="229">
        <v>1620.660331</v>
      </c>
      <c r="F1368" s="229">
        <v>336.5</v>
      </c>
      <c r="G1368" s="229"/>
      <c r="H1368" s="229"/>
      <c r="I1368" s="229"/>
      <c r="J1368" s="229"/>
      <c r="K1368" s="229"/>
      <c r="L1368" s="229"/>
      <c r="M1368" s="229"/>
      <c r="N1368" s="233" t="s">
        <v>578</v>
      </c>
    </row>
    <row r="1369" hidden="1" spans="1:14">
      <c r="A1369" s="235"/>
      <c r="B1369" s="230" t="s">
        <v>1029</v>
      </c>
      <c r="C1369" s="229">
        <v>135.3</v>
      </c>
      <c r="D1369" s="229">
        <v>135.3</v>
      </c>
      <c r="E1369" s="229">
        <v>31.8</v>
      </c>
      <c r="F1369" s="229">
        <v>103.5</v>
      </c>
      <c r="G1369" s="229"/>
      <c r="H1369" s="229"/>
      <c r="I1369" s="229"/>
      <c r="J1369" s="229"/>
      <c r="K1369" s="229"/>
      <c r="L1369" s="229"/>
      <c r="M1369" s="229"/>
      <c r="N1369" s="232"/>
    </row>
    <row r="1370" hidden="1" spans="1:14">
      <c r="A1370" s="235"/>
      <c r="B1370" s="230" t="s">
        <v>1035</v>
      </c>
      <c r="C1370" s="229">
        <v>2.2</v>
      </c>
      <c r="D1370" s="229">
        <v>2.2</v>
      </c>
      <c r="E1370" s="229">
        <v>2.2</v>
      </c>
      <c r="F1370" s="229"/>
      <c r="G1370" s="229"/>
      <c r="H1370" s="229"/>
      <c r="I1370" s="229"/>
      <c r="J1370" s="229"/>
      <c r="K1370" s="229"/>
      <c r="L1370" s="229"/>
      <c r="M1370" s="229"/>
      <c r="N1370" s="232"/>
    </row>
    <row r="1371" hidden="1" spans="1:14">
      <c r="A1371" s="235"/>
      <c r="B1371" s="230" t="s">
        <v>1028</v>
      </c>
      <c r="C1371" s="229">
        <v>26.4</v>
      </c>
      <c r="D1371" s="229">
        <v>26.4</v>
      </c>
      <c r="E1371" s="229">
        <v>26.4</v>
      </c>
      <c r="F1371" s="229"/>
      <c r="G1371" s="229"/>
      <c r="H1371" s="229"/>
      <c r="I1371" s="229"/>
      <c r="J1371" s="229"/>
      <c r="K1371" s="229"/>
      <c r="L1371" s="229"/>
      <c r="M1371" s="229"/>
      <c r="N1371" s="232"/>
    </row>
    <row r="1372" hidden="1" spans="1:14">
      <c r="A1372" s="235"/>
      <c r="B1372" s="230" t="s">
        <v>1033</v>
      </c>
      <c r="C1372" s="229">
        <v>216.249021</v>
      </c>
      <c r="D1372" s="229">
        <v>216.249021</v>
      </c>
      <c r="E1372" s="229">
        <v>188.249021</v>
      </c>
      <c r="F1372" s="229">
        <v>28</v>
      </c>
      <c r="G1372" s="229"/>
      <c r="H1372" s="229"/>
      <c r="I1372" s="229"/>
      <c r="J1372" s="229"/>
      <c r="K1372" s="229"/>
      <c r="L1372" s="229"/>
      <c r="M1372" s="229"/>
      <c r="N1372" s="232"/>
    </row>
    <row r="1373" hidden="1" spans="1:14">
      <c r="A1373" s="235"/>
      <c r="B1373" s="230" t="s">
        <v>1064</v>
      </c>
      <c r="C1373" s="229">
        <v>663.243528</v>
      </c>
      <c r="D1373" s="229">
        <v>663.243528</v>
      </c>
      <c r="E1373" s="229">
        <v>663.243528</v>
      </c>
      <c r="F1373" s="229"/>
      <c r="G1373" s="229"/>
      <c r="H1373" s="229"/>
      <c r="I1373" s="229"/>
      <c r="J1373" s="229"/>
      <c r="K1373" s="229"/>
      <c r="L1373" s="229"/>
      <c r="M1373" s="229"/>
      <c r="N1373" s="232"/>
    </row>
    <row r="1374" hidden="1" spans="1:14">
      <c r="A1374" s="235"/>
      <c r="B1374" s="230" t="s">
        <v>1039</v>
      </c>
      <c r="C1374" s="229">
        <v>12.417154</v>
      </c>
      <c r="D1374" s="229">
        <v>12.417154</v>
      </c>
      <c r="E1374" s="229">
        <v>12.417154</v>
      </c>
      <c r="F1374" s="229"/>
      <c r="G1374" s="229"/>
      <c r="H1374" s="229"/>
      <c r="I1374" s="229"/>
      <c r="J1374" s="229"/>
      <c r="K1374" s="229"/>
      <c r="L1374" s="229"/>
      <c r="M1374" s="229"/>
      <c r="N1374" s="232"/>
    </row>
    <row r="1375" hidden="1" spans="1:14">
      <c r="A1375" s="235"/>
      <c r="B1375" s="230" t="s">
        <v>1032</v>
      </c>
      <c r="C1375" s="229">
        <v>805.857704</v>
      </c>
      <c r="D1375" s="229">
        <v>805.857704</v>
      </c>
      <c r="E1375" s="229">
        <v>620.857704</v>
      </c>
      <c r="F1375" s="229">
        <v>185</v>
      </c>
      <c r="G1375" s="229"/>
      <c r="H1375" s="229"/>
      <c r="I1375" s="229"/>
      <c r="J1375" s="229"/>
      <c r="K1375" s="229"/>
      <c r="L1375" s="229"/>
      <c r="M1375" s="229"/>
      <c r="N1375" s="232"/>
    </row>
    <row r="1376" hidden="1" spans="1:14">
      <c r="A1376" s="235"/>
      <c r="B1376" s="230" t="s">
        <v>1036</v>
      </c>
      <c r="C1376" s="229">
        <v>94.502924</v>
      </c>
      <c r="D1376" s="229">
        <v>94.502924</v>
      </c>
      <c r="E1376" s="229">
        <v>74.502924</v>
      </c>
      <c r="F1376" s="229">
        <v>20</v>
      </c>
      <c r="G1376" s="229"/>
      <c r="H1376" s="229"/>
      <c r="I1376" s="229"/>
      <c r="J1376" s="229"/>
      <c r="K1376" s="229"/>
      <c r="L1376" s="229"/>
      <c r="M1376" s="229"/>
      <c r="N1376" s="232"/>
    </row>
    <row r="1377" hidden="1" spans="1:14">
      <c r="A1377" s="235"/>
      <c r="B1377" s="230" t="s">
        <v>1038</v>
      </c>
      <c r="C1377" s="229">
        <v>0.33</v>
      </c>
      <c r="D1377" s="229">
        <v>0.33</v>
      </c>
      <c r="E1377" s="229">
        <v>0.33</v>
      </c>
      <c r="F1377" s="229"/>
      <c r="G1377" s="229"/>
      <c r="H1377" s="229"/>
      <c r="I1377" s="229"/>
      <c r="J1377" s="229"/>
      <c r="K1377" s="229"/>
      <c r="L1377" s="229"/>
      <c r="M1377" s="229"/>
      <c r="N1377" s="232"/>
    </row>
    <row r="1378" hidden="1" spans="1:14">
      <c r="A1378" s="235"/>
      <c r="B1378" s="230" t="s">
        <v>1037</v>
      </c>
      <c r="C1378" s="229">
        <v>0.66</v>
      </c>
      <c r="D1378" s="229">
        <v>0.66</v>
      </c>
      <c r="E1378" s="229">
        <v>0.66</v>
      </c>
      <c r="F1378" s="229"/>
      <c r="G1378" s="229"/>
      <c r="H1378" s="229"/>
      <c r="I1378" s="229"/>
      <c r="J1378" s="229"/>
      <c r="K1378" s="229"/>
      <c r="L1378" s="229"/>
      <c r="M1378" s="229"/>
      <c r="N1378" s="232"/>
    </row>
    <row r="1379" spans="1:14">
      <c r="A1379" s="227" t="s">
        <v>1105</v>
      </c>
      <c r="B1379" s="231" t="s">
        <v>754</v>
      </c>
      <c r="C1379" s="229">
        <v>1398.031481</v>
      </c>
      <c r="D1379" s="229">
        <v>657.051481</v>
      </c>
      <c r="E1379" s="229">
        <v>657.051481</v>
      </c>
      <c r="F1379" s="229"/>
      <c r="G1379" s="229">
        <v>740.98</v>
      </c>
      <c r="H1379" s="229"/>
      <c r="I1379" s="229"/>
      <c r="J1379" s="229"/>
      <c r="K1379" s="229"/>
      <c r="L1379" s="229"/>
      <c r="M1379" s="229"/>
      <c r="N1379" s="233" t="s">
        <v>578</v>
      </c>
    </row>
    <row r="1380" hidden="1" spans="1:14">
      <c r="A1380" s="235"/>
      <c r="B1380" s="230" t="s">
        <v>1028</v>
      </c>
      <c r="C1380" s="229">
        <v>38.4</v>
      </c>
      <c r="D1380" s="229">
        <v>38.4</v>
      </c>
      <c r="E1380" s="229">
        <v>38.4</v>
      </c>
      <c r="F1380" s="229"/>
      <c r="G1380" s="229"/>
      <c r="H1380" s="229"/>
      <c r="I1380" s="229"/>
      <c r="J1380" s="229"/>
      <c r="K1380" s="229"/>
      <c r="L1380" s="229"/>
      <c r="M1380" s="229"/>
      <c r="N1380" s="232"/>
    </row>
    <row r="1381" hidden="1" spans="1:14">
      <c r="A1381" s="235"/>
      <c r="B1381" s="230" t="s">
        <v>1036</v>
      </c>
      <c r="C1381" s="229">
        <v>33.548036</v>
      </c>
      <c r="D1381" s="229">
        <v>33.548036</v>
      </c>
      <c r="E1381" s="229">
        <v>33.548036</v>
      </c>
      <c r="F1381" s="229"/>
      <c r="G1381" s="229"/>
      <c r="H1381" s="229"/>
      <c r="I1381" s="229"/>
      <c r="J1381" s="229"/>
      <c r="K1381" s="229"/>
      <c r="L1381" s="229"/>
      <c r="M1381" s="229"/>
      <c r="N1381" s="232"/>
    </row>
    <row r="1382" hidden="1" spans="1:14">
      <c r="A1382" s="235"/>
      <c r="B1382" s="230" t="s">
        <v>1032</v>
      </c>
      <c r="C1382" s="229">
        <v>429.566964</v>
      </c>
      <c r="D1382" s="229">
        <v>279.566964</v>
      </c>
      <c r="E1382" s="229">
        <v>279.566964</v>
      </c>
      <c r="F1382" s="229"/>
      <c r="G1382" s="229">
        <v>150</v>
      </c>
      <c r="H1382" s="229"/>
      <c r="I1382" s="229"/>
      <c r="J1382" s="229"/>
      <c r="K1382" s="229"/>
      <c r="L1382" s="229"/>
      <c r="M1382" s="229"/>
      <c r="N1382" s="232"/>
    </row>
    <row r="1383" hidden="1" spans="1:14">
      <c r="A1383" s="235"/>
      <c r="B1383" s="230" t="s">
        <v>1029</v>
      </c>
      <c r="C1383" s="229">
        <v>771.7966</v>
      </c>
      <c r="D1383" s="229">
        <v>197.28</v>
      </c>
      <c r="E1383" s="229">
        <v>197.28</v>
      </c>
      <c r="F1383" s="229"/>
      <c r="G1383" s="229">
        <v>574.5166</v>
      </c>
      <c r="H1383" s="229"/>
      <c r="I1383" s="229"/>
      <c r="J1383" s="229"/>
      <c r="K1383" s="229"/>
      <c r="L1383" s="229"/>
      <c r="M1383" s="229"/>
      <c r="N1383" s="232"/>
    </row>
    <row r="1384" hidden="1" spans="1:14">
      <c r="A1384" s="235"/>
      <c r="B1384" s="230" t="s">
        <v>1038</v>
      </c>
      <c r="C1384" s="229">
        <v>0.3</v>
      </c>
      <c r="D1384" s="229">
        <v>0.3</v>
      </c>
      <c r="E1384" s="229">
        <v>0.3</v>
      </c>
      <c r="F1384" s="229"/>
      <c r="G1384" s="229"/>
      <c r="H1384" s="229"/>
      <c r="I1384" s="229"/>
      <c r="J1384" s="229"/>
      <c r="K1384" s="229"/>
      <c r="L1384" s="229"/>
      <c r="M1384" s="229"/>
      <c r="N1384" s="232"/>
    </row>
    <row r="1385" hidden="1" spans="1:14">
      <c r="A1385" s="235"/>
      <c r="B1385" s="230" t="s">
        <v>1039</v>
      </c>
      <c r="C1385" s="229">
        <v>5.591339</v>
      </c>
      <c r="D1385" s="229">
        <v>5.591339</v>
      </c>
      <c r="E1385" s="229">
        <v>5.591339</v>
      </c>
      <c r="F1385" s="229"/>
      <c r="G1385" s="229"/>
      <c r="H1385" s="229"/>
      <c r="I1385" s="229"/>
      <c r="J1385" s="229"/>
      <c r="K1385" s="229"/>
      <c r="L1385" s="229"/>
      <c r="M1385" s="229"/>
      <c r="N1385" s="232"/>
    </row>
    <row r="1386" hidden="1" spans="1:14">
      <c r="A1386" s="235"/>
      <c r="B1386" s="230" t="s">
        <v>1106</v>
      </c>
      <c r="C1386" s="229">
        <v>16.4634</v>
      </c>
      <c r="D1386" s="229"/>
      <c r="E1386" s="229"/>
      <c r="F1386" s="229"/>
      <c r="G1386" s="229">
        <v>16.4634</v>
      </c>
      <c r="H1386" s="229"/>
      <c r="I1386" s="229"/>
      <c r="J1386" s="229"/>
      <c r="K1386" s="229"/>
      <c r="L1386" s="229"/>
      <c r="M1386" s="229"/>
      <c r="N1386" s="232"/>
    </row>
    <row r="1387" hidden="1" spans="1:14">
      <c r="A1387" s="235"/>
      <c r="B1387" s="230" t="s">
        <v>1033</v>
      </c>
      <c r="C1387" s="229">
        <v>93.135142</v>
      </c>
      <c r="D1387" s="229">
        <v>93.135142</v>
      </c>
      <c r="E1387" s="229">
        <v>93.135142</v>
      </c>
      <c r="F1387" s="229"/>
      <c r="G1387" s="229"/>
      <c r="H1387" s="229"/>
      <c r="I1387" s="229"/>
      <c r="J1387" s="229"/>
      <c r="K1387" s="229"/>
      <c r="L1387" s="229"/>
      <c r="M1387" s="229"/>
      <c r="N1387" s="232"/>
    </row>
    <row r="1388" hidden="1" spans="1:14">
      <c r="A1388" s="235"/>
      <c r="B1388" s="230" t="s">
        <v>1037</v>
      </c>
      <c r="C1388" s="229">
        <v>0.96</v>
      </c>
      <c r="D1388" s="229">
        <v>0.96</v>
      </c>
      <c r="E1388" s="229">
        <v>0.96</v>
      </c>
      <c r="F1388" s="229"/>
      <c r="G1388" s="229"/>
      <c r="H1388" s="229"/>
      <c r="I1388" s="229"/>
      <c r="J1388" s="229"/>
      <c r="K1388" s="229"/>
      <c r="L1388" s="229"/>
      <c r="M1388" s="229"/>
      <c r="N1388" s="232"/>
    </row>
    <row r="1389" hidden="1" spans="1:14">
      <c r="A1389" s="235"/>
      <c r="B1389" s="230" t="s">
        <v>1035</v>
      </c>
      <c r="C1389" s="229">
        <v>3.2</v>
      </c>
      <c r="D1389" s="229">
        <v>3.2</v>
      </c>
      <c r="E1389" s="229">
        <v>3.2</v>
      </c>
      <c r="F1389" s="229"/>
      <c r="G1389" s="229"/>
      <c r="H1389" s="229"/>
      <c r="I1389" s="229"/>
      <c r="J1389" s="229"/>
      <c r="K1389" s="229"/>
      <c r="L1389" s="229"/>
      <c r="M1389" s="229"/>
      <c r="N1389" s="232"/>
    </row>
    <row r="1390" hidden="1" spans="1:14">
      <c r="A1390" s="235"/>
      <c r="B1390" s="230" t="s">
        <v>1034</v>
      </c>
      <c r="C1390" s="229">
        <v>5.07</v>
      </c>
      <c r="D1390" s="229">
        <v>5.07</v>
      </c>
      <c r="E1390" s="229">
        <v>5.07</v>
      </c>
      <c r="F1390" s="229"/>
      <c r="G1390" s="229"/>
      <c r="H1390" s="229"/>
      <c r="I1390" s="229"/>
      <c r="J1390" s="229"/>
      <c r="K1390" s="229"/>
      <c r="L1390" s="229"/>
      <c r="M1390" s="229"/>
      <c r="N1390" s="232"/>
    </row>
    <row r="1391" spans="1:14">
      <c r="A1391" s="227" t="s">
        <v>1107</v>
      </c>
      <c r="B1391" s="231" t="s">
        <v>755</v>
      </c>
      <c r="C1391" s="229">
        <v>2145.714825</v>
      </c>
      <c r="D1391" s="229">
        <v>2145.714825</v>
      </c>
      <c r="E1391" s="229">
        <v>2145.714825</v>
      </c>
      <c r="F1391" s="229"/>
      <c r="G1391" s="229"/>
      <c r="H1391" s="229"/>
      <c r="I1391" s="229"/>
      <c r="J1391" s="229"/>
      <c r="K1391" s="229"/>
      <c r="L1391" s="229"/>
      <c r="M1391" s="229"/>
      <c r="N1391" s="233" t="s">
        <v>578</v>
      </c>
    </row>
    <row r="1392" hidden="1" spans="1:14">
      <c r="A1392" s="235"/>
      <c r="B1392" s="230" t="s">
        <v>1038</v>
      </c>
      <c r="C1392" s="229">
        <v>0.51</v>
      </c>
      <c r="D1392" s="229">
        <v>0.51</v>
      </c>
      <c r="E1392" s="229">
        <v>0.51</v>
      </c>
      <c r="F1392" s="229"/>
      <c r="G1392" s="229"/>
      <c r="H1392" s="229"/>
      <c r="I1392" s="229"/>
      <c r="J1392" s="229"/>
      <c r="K1392" s="229"/>
      <c r="L1392" s="229"/>
      <c r="M1392" s="229"/>
      <c r="N1392" s="232"/>
    </row>
    <row r="1393" hidden="1" spans="1:14">
      <c r="A1393" s="235"/>
      <c r="B1393" s="230" t="s">
        <v>1034</v>
      </c>
      <c r="C1393" s="229">
        <v>5.07</v>
      </c>
      <c r="D1393" s="229">
        <v>5.07</v>
      </c>
      <c r="E1393" s="229">
        <v>5.07</v>
      </c>
      <c r="F1393" s="229"/>
      <c r="G1393" s="229"/>
      <c r="H1393" s="229"/>
      <c r="I1393" s="229"/>
      <c r="J1393" s="229"/>
      <c r="K1393" s="229"/>
      <c r="L1393" s="229"/>
      <c r="M1393" s="229"/>
      <c r="N1393" s="232"/>
    </row>
    <row r="1394" hidden="1" spans="1:14">
      <c r="A1394" s="235"/>
      <c r="B1394" s="230" t="s">
        <v>1035</v>
      </c>
      <c r="C1394" s="229">
        <v>8.5</v>
      </c>
      <c r="D1394" s="229">
        <v>8.5</v>
      </c>
      <c r="E1394" s="229">
        <v>8.5</v>
      </c>
      <c r="F1394" s="229"/>
      <c r="G1394" s="229"/>
      <c r="H1394" s="229"/>
      <c r="I1394" s="229"/>
      <c r="J1394" s="229"/>
      <c r="K1394" s="229"/>
      <c r="L1394" s="229"/>
      <c r="M1394" s="229"/>
      <c r="N1394" s="232"/>
    </row>
    <row r="1395" hidden="1" spans="1:14">
      <c r="A1395" s="235"/>
      <c r="B1395" s="230" t="s">
        <v>1039</v>
      </c>
      <c r="C1395" s="229">
        <v>17.84318</v>
      </c>
      <c r="D1395" s="229">
        <v>17.84318</v>
      </c>
      <c r="E1395" s="229">
        <v>17.84318</v>
      </c>
      <c r="F1395" s="229"/>
      <c r="G1395" s="229"/>
      <c r="H1395" s="229"/>
      <c r="I1395" s="229"/>
      <c r="J1395" s="229"/>
      <c r="K1395" s="229"/>
      <c r="L1395" s="229"/>
      <c r="M1395" s="229"/>
      <c r="N1395" s="232"/>
    </row>
    <row r="1396" hidden="1" spans="1:14">
      <c r="A1396" s="235"/>
      <c r="B1396" s="230" t="s">
        <v>1028</v>
      </c>
      <c r="C1396" s="229">
        <v>102</v>
      </c>
      <c r="D1396" s="229">
        <v>102</v>
      </c>
      <c r="E1396" s="229">
        <v>102</v>
      </c>
      <c r="F1396" s="229"/>
      <c r="G1396" s="229"/>
      <c r="H1396" s="229"/>
      <c r="I1396" s="229"/>
      <c r="J1396" s="229"/>
      <c r="K1396" s="229"/>
      <c r="L1396" s="229"/>
      <c r="M1396" s="229"/>
      <c r="N1396" s="232"/>
    </row>
    <row r="1397" hidden="1" spans="1:14">
      <c r="A1397" s="235"/>
      <c r="B1397" s="230" t="s">
        <v>1037</v>
      </c>
      <c r="C1397" s="229">
        <v>2.55</v>
      </c>
      <c r="D1397" s="229">
        <v>2.55</v>
      </c>
      <c r="E1397" s="229">
        <v>2.55</v>
      </c>
      <c r="F1397" s="229"/>
      <c r="G1397" s="229"/>
      <c r="H1397" s="229"/>
      <c r="I1397" s="229"/>
      <c r="J1397" s="229"/>
      <c r="K1397" s="229"/>
      <c r="L1397" s="229"/>
      <c r="M1397" s="229"/>
      <c r="N1397" s="232"/>
    </row>
    <row r="1398" hidden="1" spans="1:14">
      <c r="A1398" s="235"/>
      <c r="B1398" s="230" t="s">
        <v>1027</v>
      </c>
      <c r="C1398" s="229">
        <v>2</v>
      </c>
      <c r="D1398" s="229">
        <v>2</v>
      </c>
      <c r="E1398" s="229">
        <v>2</v>
      </c>
      <c r="F1398" s="229"/>
      <c r="G1398" s="229"/>
      <c r="H1398" s="229"/>
      <c r="I1398" s="229"/>
      <c r="J1398" s="229"/>
      <c r="K1398" s="229"/>
      <c r="L1398" s="229"/>
      <c r="M1398" s="229"/>
      <c r="N1398" s="232"/>
    </row>
    <row r="1399" hidden="1" spans="1:14">
      <c r="A1399" s="235"/>
      <c r="B1399" s="230" t="s">
        <v>1032</v>
      </c>
      <c r="C1399" s="229">
        <v>1373.20002</v>
      </c>
      <c r="D1399" s="229">
        <v>1373.20002</v>
      </c>
      <c r="E1399" s="229">
        <v>1373.20002</v>
      </c>
      <c r="F1399" s="229"/>
      <c r="G1399" s="229"/>
      <c r="H1399" s="229"/>
      <c r="I1399" s="229"/>
      <c r="J1399" s="229"/>
      <c r="K1399" s="229"/>
      <c r="L1399" s="229"/>
      <c r="M1399" s="229"/>
      <c r="N1399" s="232"/>
    </row>
    <row r="1400" hidden="1" spans="1:14">
      <c r="A1400" s="235"/>
      <c r="B1400" s="230" t="s">
        <v>1029</v>
      </c>
      <c r="C1400" s="229">
        <v>174.432</v>
      </c>
      <c r="D1400" s="229">
        <v>174.432</v>
      </c>
      <c r="E1400" s="229">
        <v>174.432</v>
      </c>
      <c r="F1400" s="229"/>
      <c r="G1400" s="229"/>
      <c r="H1400" s="229"/>
      <c r="I1400" s="229"/>
      <c r="J1400" s="229"/>
      <c r="K1400" s="229"/>
      <c r="L1400" s="229"/>
      <c r="M1400" s="229"/>
      <c r="N1400" s="232"/>
    </row>
    <row r="1401" hidden="1" spans="1:14">
      <c r="A1401" s="235"/>
      <c r="B1401" s="230" t="s">
        <v>1033</v>
      </c>
      <c r="C1401" s="229">
        <v>294.825623</v>
      </c>
      <c r="D1401" s="229">
        <v>294.825623</v>
      </c>
      <c r="E1401" s="229">
        <v>294.825623</v>
      </c>
      <c r="F1401" s="229"/>
      <c r="G1401" s="229"/>
      <c r="H1401" s="229"/>
      <c r="I1401" s="229"/>
      <c r="J1401" s="229"/>
      <c r="K1401" s="229"/>
      <c r="L1401" s="229"/>
      <c r="M1401" s="229"/>
      <c r="N1401" s="232"/>
    </row>
    <row r="1402" hidden="1" spans="1:14">
      <c r="A1402" s="235"/>
      <c r="B1402" s="230" t="s">
        <v>1036</v>
      </c>
      <c r="C1402" s="229">
        <v>164.784002</v>
      </c>
      <c r="D1402" s="229">
        <v>164.784002</v>
      </c>
      <c r="E1402" s="229">
        <v>164.784002</v>
      </c>
      <c r="F1402" s="229"/>
      <c r="G1402" s="229"/>
      <c r="H1402" s="229"/>
      <c r="I1402" s="229"/>
      <c r="J1402" s="229"/>
      <c r="K1402" s="229"/>
      <c r="L1402" s="229"/>
      <c r="M1402" s="229"/>
      <c r="N1402" s="232"/>
    </row>
    <row r="1403" spans="1:14">
      <c r="A1403" s="227" t="s">
        <v>1108</v>
      </c>
      <c r="B1403" s="231" t="s">
        <v>756</v>
      </c>
      <c r="C1403" s="229">
        <v>3405.093576</v>
      </c>
      <c r="D1403" s="229">
        <v>3405.093576</v>
      </c>
      <c r="E1403" s="229">
        <v>3405.093576</v>
      </c>
      <c r="F1403" s="229"/>
      <c r="G1403" s="229"/>
      <c r="H1403" s="229"/>
      <c r="I1403" s="229"/>
      <c r="J1403" s="229"/>
      <c r="K1403" s="229"/>
      <c r="L1403" s="229"/>
      <c r="M1403" s="229"/>
      <c r="N1403" s="233" t="s">
        <v>578</v>
      </c>
    </row>
    <row r="1404" hidden="1" spans="1:14">
      <c r="A1404" s="235"/>
      <c r="B1404" s="230" t="s">
        <v>1033</v>
      </c>
      <c r="C1404" s="229">
        <v>470.514778</v>
      </c>
      <c r="D1404" s="229">
        <v>470.514778</v>
      </c>
      <c r="E1404" s="229">
        <v>470.514778</v>
      </c>
      <c r="F1404" s="229"/>
      <c r="G1404" s="229"/>
      <c r="H1404" s="229"/>
      <c r="I1404" s="229"/>
      <c r="J1404" s="229"/>
      <c r="K1404" s="229"/>
      <c r="L1404" s="229"/>
      <c r="M1404" s="229"/>
      <c r="N1404" s="232"/>
    </row>
    <row r="1405" hidden="1" spans="1:14">
      <c r="A1405" s="235"/>
      <c r="B1405" s="230" t="s">
        <v>1038</v>
      </c>
      <c r="C1405" s="229">
        <v>0.84</v>
      </c>
      <c r="D1405" s="229">
        <v>0.84</v>
      </c>
      <c r="E1405" s="229">
        <v>0.84</v>
      </c>
      <c r="F1405" s="229"/>
      <c r="G1405" s="229"/>
      <c r="H1405" s="229"/>
      <c r="I1405" s="229"/>
      <c r="J1405" s="229"/>
      <c r="K1405" s="229"/>
      <c r="L1405" s="229"/>
      <c r="M1405" s="229"/>
      <c r="N1405" s="232"/>
    </row>
    <row r="1406" hidden="1" spans="1:14">
      <c r="A1406" s="235"/>
      <c r="B1406" s="230" t="s">
        <v>1027</v>
      </c>
      <c r="C1406" s="229">
        <v>2</v>
      </c>
      <c r="D1406" s="229">
        <v>2</v>
      </c>
      <c r="E1406" s="229">
        <v>2</v>
      </c>
      <c r="F1406" s="229"/>
      <c r="G1406" s="229"/>
      <c r="H1406" s="229"/>
      <c r="I1406" s="229"/>
      <c r="J1406" s="229"/>
      <c r="K1406" s="229"/>
      <c r="L1406" s="229"/>
      <c r="M1406" s="229"/>
      <c r="N1406" s="232"/>
    </row>
    <row r="1407" hidden="1" spans="1:14">
      <c r="A1407" s="235"/>
      <c r="B1407" s="230" t="s">
        <v>1036</v>
      </c>
      <c r="C1407" s="229">
        <v>266.944222</v>
      </c>
      <c r="D1407" s="229">
        <v>266.944222</v>
      </c>
      <c r="E1407" s="229">
        <v>266.944222</v>
      </c>
      <c r="F1407" s="229"/>
      <c r="G1407" s="229"/>
      <c r="H1407" s="229"/>
      <c r="I1407" s="229"/>
      <c r="J1407" s="229"/>
      <c r="K1407" s="229"/>
      <c r="L1407" s="229"/>
      <c r="M1407" s="229"/>
      <c r="N1407" s="232"/>
    </row>
    <row r="1408" hidden="1" spans="1:14">
      <c r="A1408" s="235"/>
      <c r="B1408" s="230" t="s">
        <v>1035</v>
      </c>
      <c r="C1408" s="229">
        <v>11.1</v>
      </c>
      <c r="D1408" s="229">
        <v>11.1</v>
      </c>
      <c r="E1408" s="229">
        <v>11.1</v>
      </c>
      <c r="F1408" s="229"/>
      <c r="G1408" s="229"/>
      <c r="H1408" s="229"/>
      <c r="I1408" s="229"/>
      <c r="J1408" s="229"/>
      <c r="K1408" s="229"/>
      <c r="L1408" s="229"/>
      <c r="M1408" s="229"/>
      <c r="N1408" s="232"/>
    </row>
    <row r="1409" hidden="1" spans="1:14">
      <c r="A1409" s="235"/>
      <c r="B1409" s="230" t="s">
        <v>1034</v>
      </c>
      <c r="C1409" s="229">
        <v>2.028</v>
      </c>
      <c r="D1409" s="229">
        <v>2.028</v>
      </c>
      <c r="E1409" s="229">
        <v>2.028</v>
      </c>
      <c r="F1409" s="229"/>
      <c r="G1409" s="229"/>
      <c r="H1409" s="229"/>
      <c r="I1409" s="229"/>
      <c r="J1409" s="229"/>
      <c r="K1409" s="229"/>
      <c r="L1409" s="229"/>
      <c r="M1409" s="229"/>
      <c r="N1409" s="232"/>
    </row>
    <row r="1410" hidden="1" spans="1:14">
      <c r="A1410" s="235"/>
      <c r="B1410" s="230" t="s">
        <v>1028</v>
      </c>
      <c r="C1410" s="229">
        <v>133.2</v>
      </c>
      <c r="D1410" s="229">
        <v>133.2</v>
      </c>
      <c r="E1410" s="229">
        <v>133.2</v>
      </c>
      <c r="F1410" s="229"/>
      <c r="G1410" s="229"/>
      <c r="H1410" s="229"/>
      <c r="I1410" s="229"/>
      <c r="J1410" s="229"/>
      <c r="K1410" s="229"/>
      <c r="L1410" s="229"/>
      <c r="M1410" s="229"/>
      <c r="N1410" s="232"/>
    </row>
    <row r="1411" hidden="1" spans="1:14">
      <c r="A1411" s="235"/>
      <c r="B1411" s="230" t="s">
        <v>1029</v>
      </c>
      <c r="C1411" s="229">
        <v>261.504</v>
      </c>
      <c r="D1411" s="229">
        <v>261.504</v>
      </c>
      <c r="E1411" s="229">
        <v>261.504</v>
      </c>
      <c r="F1411" s="229"/>
      <c r="G1411" s="229"/>
      <c r="H1411" s="229"/>
      <c r="I1411" s="229"/>
      <c r="J1411" s="229"/>
      <c r="K1411" s="229"/>
      <c r="L1411" s="229"/>
      <c r="M1411" s="229"/>
      <c r="N1411" s="232"/>
    </row>
    <row r="1412" hidden="1" spans="1:14">
      <c r="A1412" s="235"/>
      <c r="B1412" s="230" t="s">
        <v>1039</v>
      </c>
      <c r="C1412" s="229">
        <v>29.097392</v>
      </c>
      <c r="D1412" s="229">
        <v>29.097392</v>
      </c>
      <c r="E1412" s="229">
        <v>29.097392</v>
      </c>
      <c r="F1412" s="229"/>
      <c r="G1412" s="229"/>
      <c r="H1412" s="229"/>
      <c r="I1412" s="229"/>
      <c r="J1412" s="229"/>
      <c r="K1412" s="229"/>
      <c r="L1412" s="229"/>
      <c r="M1412" s="229"/>
      <c r="N1412" s="232"/>
    </row>
    <row r="1413" hidden="1" spans="1:14">
      <c r="A1413" s="235"/>
      <c r="B1413" s="230" t="s">
        <v>1037</v>
      </c>
      <c r="C1413" s="229">
        <v>3.33</v>
      </c>
      <c r="D1413" s="229">
        <v>3.33</v>
      </c>
      <c r="E1413" s="229">
        <v>3.33</v>
      </c>
      <c r="F1413" s="229"/>
      <c r="G1413" s="229"/>
      <c r="H1413" s="229"/>
      <c r="I1413" s="229"/>
      <c r="J1413" s="229"/>
      <c r="K1413" s="229"/>
      <c r="L1413" s="229"/>
      <c r="M1413" s="229"/>
      <c r="N1413" s="232"/>
    </row>
    <row r="1414" hidden="1" spans="1:14">
      <c r="A1414" s="235"/>
      <c r="B1414" s="230" t="s">
        <v>1032</v>
      </c>
      <c r="C1414" s="229">
        <v>2224.535184</v>
      </c>
      <c r="D1414" s="229">
        <v>2224.535184</v>
      </c>
      <c r="E1414" s="229">
        <v>2224.535184</v>
      </c>
      <c r="F1414" s="229"/>
      <c r="G1414" s="229"/>
      <c r="H1414" s="229"/>
      <c r="I1414" s="229"/>
      <c r="J1414" s="229"/>
      <c r="K1414" s="229"/>
      <c r="L1414" s="229"/>
      <c r="M1414" s="229"/>
      <c r="N1414" s="232"/>
    </row>
    <row r="1415" spans="1:14">
      <c r="A1415" s="227" t="s">
        <v>1109</v>
      </c>
      <c r="B1415" s="231" t="s">
        <v>757</v>
      </c>
      <c r="C1415" s="229">
        <v>1648.155264</v>
      </c>
      <c r="D1415" s="229">
        <v>1648.155264</v>
      </c>
      <c r="E1415" s="229">
        <v>1648.155264</v>
      </c>
      <c r="F1415" s="229"/>
      <c r="G1415" s="229"/>
      <c r="H1415" s="229"/>
      <c r="I1415" s="229"/>
      <c r="J1415" s="229"/>
      <c r="K1415" s="229"/>
      <c r="L1415" s="229"/>
      <c r="M1415" s="229"/>
      <c r="N1415" s="233" t="s">
        <v>578</v>
      </c>
    </row>
    <row r="1416" hidden="1" spans="1:14">
      <c r="A1416" s="235"/>
      <c r="B1416" s="230" t="s">
        <v>1038</v>
      </c>
      <c r="C1416" s="229">
        <v>0.39</v>
      </c>
      <c r="D1416" s="229">
        <v>0.39</v>
      </c>
      <c r="E1416" s="229">
        <v>0.39</v>
      </c>
      <c r="F1416" s="229"/>
      <c r="G1416" s="229"/>
      <c r="H1416" s="229"/>
      <c r="I1416" s="229"/>
      <c r="J1416" s="229"/>
      <c r="K1416" s="229"/>
      <c r="L1416" s="229"/>
      <c r="M1416" s="229"/>
      <c r="N1416" s="232"/>
    </row>
    <row r="1417" hidden="1" spans="1:14">
      <c r="A1417" s="235"/>
      <c r="B1417" s="230" t="s">
        <v>1036</v>
      </c>
      <c r="C1417" s="229">
        <v>125.202774</v>
      </c>
      <c r="D1417" s="229">
        <v>125.202774</v>
      </c>
      <c r="E1417" s="229">
        <v>125.202774</v>
      </c>
      <c r="F1417" s="229"/>
      <c r="G1417" s="229"/>
      <c r="H1417" s="229"/>
      <c r="I1417" s="229"/>
      <c r="J1417" s="229"/>
      <c r="K1417" s="229"/>
      <c r="L1417" s="229"/>
      <c r="M1417" s="229"/>
      <c r="N1417" s="232"/>
    </row>
    <row r="1418" hidden="1" spans="1:14">
      <c r="A1418" s="235"/>
      <c r="B1418" s="230" t="s">
        <v>1032</v>
      </c>
      <c r="C1418" s="229">
        <v>1043.356452</v>
      </c>
      <c r="D1418" s="229">
        <v>1043.356452</v>
      </c>
      <c r="E1418" s="229">
        <v>1043.356452</v>
      </c>
      <c r="F1418" s="229"/>
      <c r="G1418" s="229"/>
      <c r="H1418" s="229"/>
      <c r="I1418" s="229"/>
      <c r="J1418" s="229"/>
      <c r="K1418" s="229"/>
      <c r="L1418" s="229"/>
      <c r="M1418" s="229"/>
      <c r="N1418" s="232"/>
    </row>
    <row r="1419" hidden="1" spans="1:14">
      <c r="A1419" s="235"/>
      <c r="B1419" s="230" t="s">
        <v>1039</v>
      </c>
      <c r="C1419" s="229">
        <v>13.432859</v>
      </c>
      <c r="D1419" s="229">
        <v>13.432859</v>
      </c>
      <c r="E1419" s="229">
        <v>13.432859</v>
      </c>
      <c r="F1419" s="229"/>
      <c r="G1419" s="229"/>
      <c r="H1419" s="229"/>
      <c r="I1419" s="229"/>
      <c r="J1419" s="229"/>
      <c r="K1419" s="229"/>
      <c r="L1419" s="229"/>
      <c r="M1419" s="229"/>
      <c r="N1419" s="232"/>
    </row>
    <row r="1420" hidden="1" spans="1:14">
      <c r="A1420" s="235"/>
      <c r="B1420" s="230" t="s">
        <v>1034</v>
      </c>
      <c r="C1420" s="229">
        <v>2.028</v>
      </c>
      <c r="D1420" s="229">
        <v>2.028</v>
      </c>
      <c r="E1420" s="229">
        <v>2.028</v>
      </c>
      <c r="F1420" s="229"/>
      <c r="G1420" s="229"/>
      <c r="H1420" s="229"/>
      <c r="I1420" s="229"/>
      <c r="J1420" s="229"/>
      <c r="K1420" s="229"/>
      <c r="L1420" s="229"/>
      <c r="M1420" s="229"/>
      <c r="N1420" s="232"/>
    </row>
    <row r="1421" hidden="1" spans="1:14">
      <c r="A1421" s="235"/>
      <c r="B1421" s="230" t="s">
        <v>1033</v>
      </c>
      <c r="C1421" s="229">
        <v>223.119179</v>
      </c>
      <c r="D1421" s="229">
        <v>223.119179</v>
      </c>
      <c r="E1421" s="229">
        <v>223.119179</v>
      </c>
      <c r="F1421" s="229"/>
      <c r="G1421" s="229"/>
      <c r="H1421" s="229"/>
      <c r="I1421" s="229"/>
      <c r="J1421" s="229"/>
      <c r="K1421" s="229"/>
      <c r="L1421" s="229"/>
      <c r="M1421" s="229"/>
      <c r="N1421" s="232"/>
    </row>
    <row r="1422" hidden="1" spans="1:14">
      <c r="A1422" s="235"/>
      <c r="B1422" s="230" t="s">
        <v>1029</v>
      </c>
      <c r="C1422" s="229">
        <v>146.856</v>
      </c>
      <c r="D1422" s="229">
        <v>146.856</v>
      </c>
      <c r="E1422" s="229">
        <v>146.856</v>
      </c>
      <c r="F1422" s="229"/>
      <c r="G1422" s="229"/>
      <c r="H1422" s="229"/>
      <c r="I1422" s="229"/>
      <c r="J1422" s="229"/>
      <c r="K1422" s="229"/>
      <c r="L1422" s="229"/>
      <c r="M1422" s="229"/>
      <c r="N1422" s="232"/>
    </row>
    <row r="1423" hidden="1" spans="1:14">
      <c r="A1423" s="235"/>
      <c r="B1423" s="230" t="s">
        <v>1035</v>
      </c>
      <c r="C1423" s="229">
        <v>6.9</v>
      </c>
      <c r="D1423" s="229">
        <v>6.9</v>
      </c>
      <c r="E1423" s="229">
        <v>6.9</v>
      </c>
      <c r="F1423" s="229"/>
      <c r="G1423" s="229"/>
      <c r="H1423" s="229"/>
      <c r="I1423" s="229"/>
      <c r="J1423" s="229"/>
      <c r="K1423" s="229"/>
      <c r="L1423" s="229"/>
      <c r="M1423" s="229"/>
      <c r="N1423" s="232"/>
    </row>
    <row r="1424" hidden="1" spans="1:14">
      <c r="A1424" s="235"/>
      <c r="B1424" s="230" t="s">
        <v>1037</v>
      </c>
      <c r="C1424" s="229">
        <v>2.07</v>
      </c>
      <c r="D1424" s="229">
        <v>2.07</v>
      </c>
      <c r="E1424" s="229">
        <v>2.07</v>
      </c>
      <c r="F1424" s="229"/>
      <c r="G1424" s="229"/>
      <c r="H1424" s="229"/>
      <c r="I1424" s="229"/>
      <c r="J1424" s="229"/>
      <c r="K1424" s="229"/>
      <c r="L1424" s="229"/>
      <c r="M1424" s="229"/>
      <c r="N1424" s="232"/>
    </row>
    <row r="1425" hidden="1" spans="1:14">
      <c r="A1425" s="235"/>
      <c r="B1425" s="230" t="s">
        <v>1027</v>
      </c>
      <c r="C1425" s="229">
        <v>2</v>
      </c>
      <c r="D1425" s="229">
        <v>2</v>
      </c>
      <c r="E1425" s="229">
        <v>2</v>
      </c>
      <c r="F1425" s="229"/>
      <c r="G1425" s="229"/>
      <c r="H1425" s="229"/>
      <c r="I1425" s="229"/>
      <c r="J1425" s="229"/>
      <c r="K1425" s="229"/>
      <c r="L1425" s="229"/>
      <c r="M1425" s="229"/>
      <c r="N1425" s="232"/>
    </row>
    <row r="1426" hidden="1" spans="1:14">
      <c r="A1426" s="235"/>
      <c r="B1426" s="230" t="s">
        <v>1028</v>
      </c>
      <c r="C1426" s="229">
        <v>82.8</v>
      </c>
      <c r="D1426" s="229">
        <v>82.8</v>
      </c>
      <c r="E1426" s="229">
        <v>82.8</v>
      </c>
      <c r="F1426" s="229"/>
      <c r="G1426" s="229"/>
      <c r="H1426" s="229"/>
      <c r="I1426" s="229"/>
      <c r="J1426" s="229"/>
      <c r="K1426" s="229"/>
      <c r="L1426" s="229"/>
      <c r="M1426" s="229"/>
      <c r="N1426" s="232"/>
    </row>
    <row r="1427" spans="1:14">
      <c r="A1427" s="227" t="s">
        <v>1110</v>
      </c>
      <c r="B1427" s="231" t="s">
        <v>758</v>
      </c>
      <c r="C1427" s="229">
        <v>990.77945</v>
      </c>
      <c r="D1427" s="229">
        <v>990.77945</v>
      </c>
      <c r="E1427" s="229">
        <v>990.77945</v>
      </c>
      <c r="F1427" s="229"/>
      <c r="G1427" s="229"/>
      <c r="H1427" s="229"/>
      <c r="I1427" s="229"/>
      <c r="J1427" s="229"/>
      <c r="K1427" s="229"/>
      <c r="L1427" s="229"/>
      <c r="M1427" s="229"/>
      <c r="N1427" s="233" t="s">
        <v>578</v>
      </c>
    </row>
    <row r="1428" hidden="1" spans="1:14">
      <c r="A1428" s="235"/>
      <c r="B1428" s="230" t="s">
        <v>1027</v>
      </c>
      <c r="C1428" s="229">
        <v>2</v>
      </c>
      <c r="D1428" s="229">
        <v>2</v>
      </c>
      <c r="E1428" s="229">
        <v>2</v>
      </c>
      <c r="F1428" s="229"/>
      <c r="G1428" s="229"/>
      <c r="H1428" s="229"/>
      <c r="I1428" s="229"/>
      <c r="J1428" s="229"/>
      <c r="K1428" s="229"/>
      <c r="L1428" s="229"/>
      <c r="M1428" s="229"/>
      <c r="N1428" s="232"/>
    </row>
    <row r="1429" hidden="1" spans="1:14">
      <c r="A1429" s="235"/>
      <c r="B1429" s="230" t="s">
        <v>1035</v>
      </c>
      <c r="C1429" s="229">
        <v>1.9</v>
      </c>
      <c r="D1429" s="229">
        <v>1.9</v>
      </c>
      <c r="E1429" s="229">
        <v>1.9</v>
      </c>
      <c r="F1429" s="229"/>
      <c r="G1429" s="229"/>
      <c r="H1429" s="229"/>
      <c r="I1429" s="229"/>
      <c r="J1429" s="229"/>
      <c r="K1429" s="229"/>
      <c r="L1429" s="229"/>
      <c r="M1429" s="229"/>
      <c r="N1429" s="232"/>
    </row>
    <row r="1430" hidden="1" spans="1:14">
      <c r="A1430" s="235"/>
      <c r="B1430" s="230" t="s">
        <v>1032</v>
      </c>
      <c r="C1430" s="229">
        <v>663.943512</v>
      </c>
      <c r="D1430" s="229">
        <v>663.943512</v>
      </c>
      <c r="E1430" s="229">
        <v>663.943512</v>
      </c>
      <c r="F1430" s="229"/>
      <c r="G1430" s="229"/>
      <c r="H1430" s="229"/>
      <c r="I1430" s="229"/>
      <c r="J1430" s="229"/>
      <c r="K1430" s="229"/>
      <c r="L1430" s="229"/>
      <c r="M1430" s="229"/>
      <c r="N1430" s="232"/>
    </row>
    <row r="1431" hidden="1" spans="1:14">
      <c r="A1431" s="235"/>
      <c r="B1431" s="230" t="s">
        <v>1039</v>
      </c>
      <c r="C1431" s="229">
        <v>8.555922</v>
      </c>
      <c r="D1431" s="229">
        <v>8.555922</v>
      </c>
      <c r="E1431" s="229">
        <v>8.555922</v>
      </c>
      <c r="F1431" s="229"/>
      <c r="G1431" s="229"/>
      <c r="H1431" s="229"/>
      <c r="I1431" s="229"/>
      <c r="J1431" s="229"/>
      <c r="K1431" s="229"/>
      <c r="L1431" s="229"/>
      <c r="M1431" s="229"/>
      <c r="N1431" s="232"/>
    </row>
    <row r="1432" hidden="1" spans="1:14">
      <c r="A1432" s="235"/>
      <c r="B1432" s="230" t="s">
        <v>1033</v>
      </c>
      <c r="C1432" s="229">
        <v>132.136795</v>
      </c>
      <c r="D1432" s="229">
        <v>132.136795</v>
      </c>
      <c r="E1432" s="229">
        <v>132.136795</v>
      </c>
      <c r="F1432" s="229"/>
      <c r="G1432" s="229"/>
      <c r="H1432" s="229"/>
      <c r="I1432" s="229"/>
      <c r="J1432" s="229"/>
      <c r="K1432" s="229"/>
      <c r="L1432" s="229"/>
      <c r="M1432" s="229"/>
      <c r="N1432" s="232"/>
    </row>
    <row r="1433" hidden="1" spans="1:14">
      <c r="A1433" s="235"/>
      <c r="B1433" s="230" t="s">
        <v>1038</v>
      </c>
      <c r="C1433" s="229">
        <v>0.18</v>
      </c>
      <c r="D1433" s="229">
        <v>0.18</v>
      </c>
      <c r="E1433" s="229">
        <v>0.18</v>
      </c>
      <c r="F1433" s="229"/>
      <c r="G1433" s="229"/>
      <c r="H1433" s="229"/>
      <c r="I1433" s="229"/>
      <c r="J1433" s="229"/>
      <c r="K1433" s="229"/>
      <c r="L1433" s="229"/>
      <c r="M1433" s="229"/>
      <c r="N1433" s="232"/>
    </row>
    <row r="1434" hidden="1" spans="1:14">
      <c r="A1434" s="235"/>
      <c r="B1434" s="230" t="s">
        <v>1037</v>
      </c>
      <c r="C1434" s="229">
        <v>0.57</v>
      </c>
      <c r="D1434" s="229">
        <v>0.57</v>
      </c>
      <c r="E1434" s="229">
        <v>0.57</v>
      </c>
      <c r="F1434" s="229"/>
      <c r="G1434" s="229"/>
      <c r="H1434" s="229"/>
      <c r="I1434" s="229"/>
      <c r="J1434" s="229"/>
      <c r="K1434" s="229"/>
      <c r="L1434" s="229"/>
      <c r="M1434" s="229"/>
      <c r="N1434" s="232"/>
    </row>
    <row r="1435" hidden="1" spans="1:14">
      <c r="A1435" s="235"/>
      <c r="B1435" s="230" t="s">
        <v>1028</v>
      </c>
      <c r="C1435" s="229">
        <v>22.8</v>
      </c>
      <c r="D1435" s="229">
        <v>22.8</v>
      </c>
      <c r="E1435" s="229">
        <v>22.8</v>
      </c>
      <c r="F1435" s="229"/>
      <c r="G1435" s="229"/>
      <c r="H1435" s="229"/>
      <c r="I1435" s="229"/>
      <c r="J1435" s="229"/>
      <c r="K1435" s="229"/>
      <c r="L1435" s="229"/>
      <c r="M1435" s="229"/>
      <c r="N1435" s="232"/>
    </row>
    <row r="1436" hidden="1" spans="1:14">
      <c r="A1436" s="235"/>
      <c r="B1436" s="230" t="s">
        <v>1036</v>
      </c>
      <c r="C1436" s="229">
        <v>79.673221</v>
      </c>
      <c r="D1436" s="229">
        <v>79.673221</v>
      </c>
      <c r="E1436" s="229">
        <v>79.673221</v>
      </c>
      <c r="F1436" s="229"/>
      <c r="G1436" s="229"/>
      <c r="H1436" s="229"/>
      <c r="I1436" s="229"/>
      <c r="J1436" s="229"/>
      <c r="K1436" s="229"/>
      <c r="L1436" s="229"/>
      <c r="M1436" s="229"/>
      <c r="N1436" s="232"/>
    </row>
    <row r="1437" hidden="1" spans="1:14">
      <c r="A1437" s="235"/>
      <c r="B1437" s="230" t="s">
        <v>1029</v>
      </c>
      <c r="C1437" s="229">
        <v>76.992</v>
      </c>
      <c r="D1437" s="229">
        <v>76.992</v>
      </c>
      <c r="E1437" s="229">
        <v>76.992</v>
      </c>
      <c r="F1437" s="229"/>
      <c r="G1437" s="229"/>
      <c r="H1437" s="229"/>
      <c r="I1437" s="229"/>
      <c r="J1437" s="229"/>
      <c r="K1437" s="229"/>
      <c r="L1437" s="229"/>
      <c r="M1437" s="229"/>
      <c r="N1437" s="232"/>
    </row>
    <row r="1438" hidden="1" spans="1:14">
      <c r="A1438" s="235"/>
      <c r="B1438" s="230" t="s">
        <v>1034</v>
      </c>
      <c r="C1438" s="229">
        <v>2.028</v>
      </c>
      <c r="D1438" s="229">
        <v>2.028</v>
      </c>
      <c r="E1438" s="229">
        <v>2.028</v>
      </c>
      <c r="F1438" s="229"/>
      <c r="G1438" s="229"/>
      <c r="H1438" s="229"/>
      <c r="I1438" s="229"/>
      <c r="J1438" s="229"/>
      <c r="K1438" s="229"/>
      <c r="L1438" s="229"/>
      <c r="M1438" s="229"/>
      <c r="N1438" s="232"/>
    </row>
    <row r="1439" spans="1:14">
      <c r="A1439" s="227" t="s">
        <v>1111</v>
      </c>
      <c r="B1439" s="231" t="s">
        <v>759</v>
      </c>
      <c r="C1439" s="229">
        <v>1926.19263</v>
      </c>
      <c r="D1439" s="229">
        <v>1926.19263</v>
      </c>
      <c r="E1439" s="229">
        <v>1926.19263</v>
      </c>
      <c r="F1439" s="229"/>
      <c r="G1439" s="229"/>
      <c r="H1439" s="229"/>
      <c r="I1439" s="229"/>
      <c r="J1439" s="229"/>
      <c r="K1439" s="229"/>
      <c r="L1439" s="229"/>
      <c r="M1439" s="229"/>
      <c r="N1439" s="233" t="s">
        <v>578</v>
      </c>
    </row>
    <row r="1440" hidden="1" spans="1:14">
      <c r="A1440" s="235"/>
      <c r="B1440" s="230" t="s">
        <v>1027</v>
      </c>
      <c r="C1440" s="229">
        <v>2</v>
      </c>
      <c r="D1440" s="229">
        <v>2</v>
      </c>
      <c r="E1440" s="229">
        <v>2</v>
      </c>
      <c r="F1440" s="229"/>
      <c r="G1440" s="229"/>
      <c r="H1440" s="229"/>
      <c r="I1440" s="229"/>
      <c r="J1440" s="229"/>
      <c r="K1440" s="229"/>
      <c r="L1440" s="229"/>
      <c r="M1440" s="229"/>
      <c r="N1440" s="232"/>
    </row>
    <row r="1441" hidden="1" spans="1:14">
      <c r="A1441" s="235"/>
      <c r="B1441" s="230" t="s">
        <v>1034</v>
      </c>
      <c r="C1441" s="229">
        <v>1.014</v>
      </c>
      <c r="D1441" s="229">
        <v>1.014</v>
      </c>
      <c r="E1441" s="229">
        <v>1.014</v>
      </c>
      <c r="F1441" s="229"/>
      <c r="G1441" s="229"/>
      <c r="H1441" s="229"/>
      <c r="I1441" s="229"/>
      <c r="J1441" s="229"/>
      <c r="K1441" s="229"/>
      <c r="L1441" s="229"/>
      <c r="M1441" s="229"/>
      <c r="N1441" s="232"/>
    </row>
    <row r="1442" hidden="1" spans="1:14">
      <c r="A1442" s="235"/>
      <c r="B1442" s="230" t="s">
        <v>1033</v>
      </c>
      <c r="C1442" s="229">
        <v>252.602995</v>
      </c>
      <c r="D1442" s="229">
        <v>252.602995</v>
      </c>
      <c r="E1442" s="229">
        <v>252.602995</v>
      </c>
      <c r="F1442" s="229"/>
      <c r="G1442" s="229"/>
      <c r="H1442" s="229"/>
      <c r="I1442" s="229"/>
      <c r="J1442" s="229"/>
      <c r="K1442" s="229"/>
      <c r="L1442" s="229"/>
      <c r="M1442" s="229"/>
      <c r="N1442" s="232"/>
    </row>
    <row r="1443" hidden="1" spans="1:14">
      <c r="A1443" s="235"/>
      <c r="B1443" s="230" t="s">
        <v>1028</v>
      </c>
      <c r="C1443" s="229">
        <v>48</v>
      </c>
      <c r="D1443" s="229">
        <v>48</v>
      </c>
      <c r="E1443" s="229">
        <v>48</v>
      </c>
      <c r="F1443" s="229"/>
      <c r="G1443" s="229"/>
      <c r="H1443" s="229"/>
      <c r="I1443" s="229"/>
      <c r="J1443" s="229"/>
      <c r="K1443" s="229"/>
      <c r="L1443" s="229"/>
      <c r="M1443" s="229"/>
      <c r="N1443" s="232"/>
    </row>
    <row r="1444" hidden="1" spans="1:14">
      <c r="A1444" s="235"/>
      <c r="B1444" s="230" t="s">
        <v>1029</v>
      </c>
      <c r="C1444" s="229">
        <v>174.144</v>
      </c>
      <c r="D1444" s="229">
        <v>174.144</v>
      </c>
      <c r="E1444" s="229">
        <v>174.144</v>
      </c>
      <c r="F1444" s="229"/>
      <c r="G1444" s="229"/>
      <c r="H1444" s="229"/>
      <c r="I1444" s="229"/>
      <c r="J1444" s="229"/>
      <c r="K1444" s="229"/>
      <c r="L1444" s="229"/>
      <c r="M1444" s="229"/>
      <c r="N1444" s="232"/>
    </row>
    <row r="1445" hidden="1" spans="1:14">
      <c r="A1445" s="235"/>
      <c r="B1445" s="230" t="s">
        <v>1032</v>
      </c>
      <c r="C1445" s="229">
        <v>1273.679952</v>
      </c>
      <c r="D1445" s="229">
        <v>1273.679952</v>
      </c>
      <c r="E1445" s="229">
        <v>1273.679952</v>
      </c>
      <c r="F1445" s="229"/>
      <c r="G1445" s="229"/>
      <c r="H1445" s="229"/>
      <c r="I1445" s="229"/>
      <c r="J1445" s="229"/>
      <c r="K1445" s="229"/>
      <c r="L1445" s="229"/>
      <c r="M1445" s="229"/>
      <c r="N1445" s="232"/>
    </row>
    <row r="1446" hidden="1" spans="1:14">
      <c r="A1446" s="235"/>
      <c r="B1446" s="230" t="s">
        <v>1037</v>
      </c>
      <c r="C1446" s="229">
        <v>1.2</v>
      </c>
      <c r="D1446" s="229">
        <v>1.2</v>
      </c>
      <c r="E1446" s="229">
        <v>1.2</v>
      </c>
      <c r="F1446" s="229"/>
      <c r="G1446" s="229"/>
      <c r="H1446" s="229"/>
      <c r="I1446" s="229"/>
      <c r="J1446" s="229"/>
      <c r="K1446" s="229"/>
      <c r="L1446" s="229"/>
      <c r="M1446" s="229"/>
      <c r="N1446" s="232"/>
    </row>
    <row r="1447" hidden="1" spans="1:14">
      <c r="A1447" s="235"/>
      <c r="B1447" s="230" t="s">
        <v>1036</v>
      </c>
      <c r="C1447" s="229">
        <v>152.841594</v>
      </c>
      <c r="D1447" s="229">
        <v>152.841594</v>
      </c>
      <c r="E1447" s="229">
        <v>152.841594</v>
      </c>
      <c r="F1447" s="229"/>
      <c r="G1447" s="229"/>
      <c r="H1447" s="229"/>
      <c r="I1447" s="229"/>
      <c r="J1447" s="229"/>
      <c r="K1447" s="229"/>
      <c r="L1447" s="229"/>
      <c r="M1447" s="229"/>
      <c r="N1447" s="232"/>
    </row>
    <row r="1448" hidden="1" spans="1:14">
      <c r="A1448" s="235"/>
      <c r="B1448" s="230" t="s">
        <v>1038</v>
      </c>
      <c r="C1448" s="229">
        <v>0.42</v>
      </c>
      <c r="D1448" s="229">
        <v>0.42</v>
      </c>
      <c r="E1448" s="229">
        <v>0.42</v>
      </c>
      <c r="F1448" s="229"/>
      <c r="G1448" s="229"/>
      <c r="H1448" s="229"/>
      <c r="I1448" s="229"/>
      <c r="J1448" s="229"/>
      <c r="K1448" s="229"/>
      <c r="L1448" s="229"/>
      <c r="M1448" s="229"/>
      <c r="N1448" s="232"/>
    </row>
    <row r="1449" hidden="1" spans="1:14">
      <c r="A1449" s="235"/>
      <c r="B1449" s="230" t="s">
        <v>1039</v>
      </c>
      <c r="C1449" s="229">
        <v>16.290089</v>
      </c>
      <c r="D1449" s="229">
        <v>16.290089</v>
      </c>
      <c r="E1449" s="229">
        <v>16.290089</v>
      </c>
      <c r="F1449" s="229"/>
      <c r="G1449" s="229"/>
      <c r="H1449" s="229"/>
      <c r="I1449" s="229"/>
      <c r="J1449" s="229"/>
      <c r="K1449" s="229"/>
      <c r="L1449" s="229"/>
      <c r="M1449" s="229"/>
      <c r="N1449" s="232"/>
    </row>
    <row r="1450" hidden="1" spans="1:14">
      <c r="A1450" s="235"/>
      <c r="B1450" s="230" t="s">
        <v>1035</v>
      </c>
      <c r="C1450" s="229">
        <v>4</v>
      </c>
      <c r="D1450" s="229">
        <v>4</v>
      </c>
      <c r="E1450" s="229">
        <v>4</v>
      </c>
      <c r="F1450" s="229"/>
      <c r="G1450" s="229"/>
      <c r="H1450" s="229"/>
      <c r="I1450" s="229"/>
      <c r="J1450" s="229"/>
      <c r="K1450" s="229"/>
      <c r="L1450" s="229"/>
      <c r="M1450" s="229"/>
      <c r="N1450" s="232"/>
    </row>
    <row r="1451" spans="1:14">
      <c r="A1451" s="227" t="s">
        <v>1112</v>
      </c>
      <c r="B1451" s="231" t="s">
        <v>760</v>
      </c>
      <c r="C1451" s="229">
        <v>709.504463</v>
      </c>
      <c r="D1451" s="229">
        <v>709.504463</v>
      </c>
      <c r="E1451" s="229">
        <v>709.504463</v>
      </c>
      <c r="F1451" s="229"/>
      <c r="G1451" s="229"/>
      <c r="H1451" s="229"/>
      <c r="I1451" s="229"/>
      <c r="J1451" s="229"/>
      <c r="K1451" s="229"/>
      <c r="L1451" s="229"/>
      <c r="M1451" s="229"/>
      <c r="N1451" s="233" t="s">
        <v>578</v>
      </c>
    </row>
    <row r="1452" hidden="1" spans="1:14">
      <c r="A1452" s="235"/>
      <c r="B1452" s="230" t="s">
        <v>1033</v>
      </c>
      <c r="C1452" s="229">
        <v>89.146497</v>
      </c>
      <c r="D1452" s="229">
        <v>89.146497</v>
      </c>
      <c r="E1452" s="229">
        <v>89.146497</v>
      </c>
      <c r="F1452" s="229"/>
      <c r="G1452" s="229"/>
      <c r="H1452" s="229"/>
      <c r="I1452" s="229"/>
      <c r="J1452" s="229"/>
      <c r="K1452" s="229"/>
      <c r="L1452" s="229"/>
      <c r="M1452" s="229"/>
      <c r="N1452" s="232"/>
    </row>
    <row r="1453" hidden="1" spans="1:14">
      <c r="A1453" s="235"/>
      <c r="B1453" s="230" t="s">
        <v>1036</v>
      </c>
      <c r="C1453" s="229">
        <v>54.152541</v>
      </c>
      <c r="D1453" s="229">
        <v>54.152541</v>
      </c>
      <c r="E1453" s="229">
        <v>54.152541</v>
      </c>
      <c r="F1453" s="229"/>
      <c r="G1453" s="229"/>
      <c r="H1453" s="229"/>
      <c r="I1453" s="229"/>
      <c r="J1453" s="229"/>
      <c r="K1453" s="229"/>
      <c r="L1453" s="229"/>
      <c r="M1453" s="229"/>
      <c r="N1453" s="232"/>
    </row>
    <row r="1454" hidden="1" spans="1:14">
      <c r="A1454" s="235"/>
      <c r="B1454" s="230" t="s">
        <v>1039</v>
      </c>
      <c r="C1454" s="229">
        <v>5.964253</v>
      </c>
      <c r="D1454" s="229">
        <v>5.964253</v>
      </c>
      <c r="E1454" s="229">
        <v>5.964253</v>
      </c>
      <c r="F1454" s="229"/>
      <c r="G1454" s="229"/>
      <c r="H1454" s="229"/>
      <c r="I1454" s="229"/>
      <c r="J1454" s="229"/>
      <c r="K1454" s="229"/>
      <c r="L1454" s="229"/>
      <c r="M1454" s="229"/>
      <c r="N1454" s="232"/>
    </row>
    <row r="1455" hidden="1" spans="1:14">
      <c r="A1455" s="235"/>
      <c r="B1455" s="230" t="s">
        <v>1037</v>
      </c>
      <c r="C1455" s="229">
        <v>0.15</v>
      </c>
      <c r="D1455" s="229">
        <v>0.15</v>
      </c>
      <c r="E1455" s="229">
        <v>0.15</v>
      </c>
      <c r="F1455" s="229"/>
      <c r="G1455" s="229"/>
      <c r="H1455" s="229"/>
      <c r="I1455" s="229"/>
      <c r="J1455" s="229"/>
      <c r="K1455" s="229"/>
      <c r="L1455" s="229"/>
      <c r="M1455" s="229"/>
      <c r="N1455" s="232"/>
    </row>
    <row r="1456" hidden="1" spans="1:14">
      <c r="A1456" s="235"/>
      <c r="B1456" s="230" t="s">
        <v>1032</v>
      </c>
      <c r="C1456" s="229">
        <v>451.271172</v>
      </c>
      <c r="D1456" s="229">
        <v>451.271172</v>
      </c>
      <c r="E1456" s="229">
        <v>451.271172</v>
      </c>
      <c r="F1456" s="229"/>
      <c r="G1456" s="229"/>
      <c r="H1456" s="229"/>
      <c r="I1456" s="229"/>
      <c r="J1456" s="229"/>
      <c r="K1456" s="229"/>
      <c r="L1456" s="229"/>
      <c r="M1456" s="229"/>
      <c r="N1456" s="232"/>
    </row>
    <row r="1457" hidden="1" spans="1:14">
      <c r="A1457" s="235"/>
      <c r="B1457" s="230" t="s">
        <v>1035</v>
      </c>
      <c r="C1457" s="229">
        <v>0.5</v>
      </c>
      <c r="D1457" s="229">
        <v>0.5</v>
      </c>
      <c r="E1457" s="229">
        <v>0.5</v>
      </c>
      <c r="F1457" s="229"/>
      <c r="G1457" s="229"/>
      <c r="H1457" s="229"/>
      <c r="I1457" s="229"/>
      <c r="J1457" s="229"/>
      <c r="K1457" s="229"/>
      <c r="L1457" s="229"/>
      <c r="M1457" s="229"/>
      <c r="N1457" s="232"/>
    </row>
    <row r="1458" hidden="1" spans="1:14">
      <c r="A1458" s="235"/>
      <c r="B1458" s="230" t="s">
        <v>1027</v>
      </c>
      <c r="C1458" s="229">
        <v>2</v>
      </c>
      <c r="D1458" s="229">
        <v>2</v>
      </c>
      <c r="E1458" s="229">
        <v>2</v>
      </c>
      <c r="F1458" s="229"/>
      <c r="G1458" s="229"/>
      <c r="H1458" s="229"/>
      <c r="I1458" s="229"/>
      <c r="J1458" s="229"/>
      <c r="K1458" s="229"/>
      <c r="L1458" s="229"/>
      <c r="M1458" s="229"/>
      <c r="N1458" s="232"/>
    </row>
    <row r="1459" hidden="1" spans="1:14">
      <c r="A1459" s="235"/>
      <c r="B1459" s="230" t="s">
        <v>1029</v>
      </c>
      <c r="C1459" s="229">
        <v>100.2</v>
      </c>
      <c r="D1459" s="229">
        <v>100.2</v>
      </c>
      <c r="E1459" s="229">
        <v>100.2</v>
      </c>
      <c r="F1459" s="229"/>
      <c r="G1459" s="229"/>
      <c r="H1459" s="229"/>
      <c r="I1459" s="229"/>
      <c r="J1459" s="229"/>
      <c r="K1459" s="229"/>
      <c r="L1459" s="229"/>
      <c r="M1459" s="229"/>
      <c r="N1459" s="232"/>
    </row>
    <row r="1460" hidden="1" spans="1:14">
      <c r="A1460" s="235"/>
      <c r="B1460" s="230" t="s">
        <v>1038</v>
      </c>
      <c r="C1460" s="229">
        <v>0.12</v>
      </c>
      <c r="D1460" s="229">
        <v>0.12</v>
      </c>
      <c r="E1460" s="229">
        <v>0.12</v>
      </c>
      <c r="F1460" s="229"/>
      <c r="G1460" s="229"/>
      <c r="H1460" s="229"/>
      <c r="I1460" s="229"/>
      <c r="J1460" s="229"/>
      <c r="K1460" s="229"/>
      <c r="L1460" s="229"/>
      <c r="M1460" s="229"/>
      <c r="N1460" s="232"/>
    </row>
    <row r="1461" hidden="1" spans="1:14">
      <c r="A1461" s="235"/>
      <c r="B1461" s="230" t="s">
        <v>1028</v>
      </c>
      <c r="C1461" s="229">
        <v>6</v>
      </c>
      <c r="D1461" s="229">
        <v>6</v>
      </c>
      <c r="E1461" s="229">
        <v>6</v>
      </c>
      <c r="F1461" s="229"/>
      <c r="G1461" s="229"/>
      <c r="H1461" s="229"/>
      <c r="I1461" s="229"/>
      <c r="J1461" s="229"/>
      <c r="K1461" s="229"/>
      <c r="L1461" s="229"/>
      <c r="M1461" s="229"/>
      <c r="N1461" s="232"/>
    </row>
    <row r="1462" spans="1:14">
      <c r="A1462" s="227" t="s">
        <v>1113</v>
      </c>
      <c r="B1462" s="231" t="s">
        <v>761</v>
      </c>
      <c r="C1462" s="229">
        <v>3305.212597</v>
      </c>
      <c r="D1462" s="229">
        <v>3305.212597</v>
      </c>
      <c r="E1462" s="229">
        <v>3305.212597</v>
      </c>
      <c r="F1462" s="229"/>
      <c r="G1462" s="229"/>
      <c r="H1462" s="229"/>
      <c r="I1462" s="229"/>
      <c r="J1462" s="229"/>
      <c r="K1462" s="229"/>
      <c r="L1462" s="229"/>
      <c r="M1462" s="229"/>
      <c r="N1462" s="233" t="s">
        <v>578</v>
      </c>
    </row>
    <row r="1463" hidden="1" spans="1:14">
      <c r="A1463" s="235"/>
      <c r="B1463" s="230" t="s">
        <v>1035</v>
      </c>
      <c r="C1463" s="229">
        <v>1.5</v>
      </c>
      <c r="D1463" s="229">
        <v>1.5</v>
      </c>
      <c r="E1463" s="229">
        <v>1.5</v>
      </c>
      <c r="F1463" s="229"/>
      <c r="G1463" s="229"/>
      <c r="H1463" s="229"/>
      <c r="I1463" s="229"/>
      <c r="J1463" s="229"/>
      <c r="K1463" s="229"/>
      <c r="L1463" s="229"/>
      <c r="M1463" s="229"/>
      <c r="N1463" s="232"/>
    </row>
    <row r="1464" hidden="1" spans="1:14">
      <c r="A1464" s="235"/>
      <c r="B1464" s="230" t="s">
        <v>1034</v>
      </c>
      <c r="C1464" s="229">
        <v>3.042</v>
      </c>
      <c r="D1464" s="229">
        <v>3.042</v>
      </c>
      <c r="E1464" s="229">
        <v>3.042</v>
      </c>
      <c r="F1464" s="229"/>
      <c r="G1464" s="229"/>
      <c r="H1464" s="229"/>
      <c r="I1464" s="229"/>
      <c r="J1464" s="229"/>
      <c r="K1464" s="229"/>
      <c r="L1464" s="229"/>
      <c r="M1464" s="229"/>
      <c r="N1464" s="232"/>
    </row>
    <row r="1465" hidden="1" spans="1:14">
      <c r="A1465" s="235"/>
      <c r="B1465" s="230" t="s">
        <v>1033</v>
      </c>
      <c r="C1465" s="229">
        <v>412.172132</v>
      </c>
      <c r="D1465" s="229">
        <v>412.172132</v>
      </c>
      <c r="E1465" s="229">
        <v>412.172132</v>
      </c>
      <c r="F1465" s="229"/>
      <c r="G1465" s="229"/>
      <c r="H1465" s="229"/>
      <c r="I1465" s="229"/>
      <c r="J1465" s="229"/>
      <c r="K1465" s="229"/>
      <c r="L1465" s="229"/>
      <c r="M1465" s="229"/>
      <c r="N1465" s="232"/>
    </row>
    <row r="1466" hidden="1" spans="1:14">
      <c r="A1466" s="235"/>
      <c r="B1466" s="230" t="s">
        <v>1039</v>
      </c>
      <c r="C1466" s="229">
        <v>28.016124</v>
      </c>
      <c r="D1466" s="229">
        <v>28.016124</v>
      </c>
      <c r="E1466" s="229">
        <v>28.016124</v>
      </c>
      <c r="F1466" s="229"/>
      <c r="G1466" s="229"/>
      <c r="H1466" s="229"/>
      <c r="I1466" s="229"/>
      <c r="J1466" s="229"/>
      <c r="K1466" s="229"/>
      <c r="L1466" s="229"/>
      <c r="M1466" s="229"/>
      <c r="N1466" s="232"/>
    </row>
    <row r="1467" hidden="1" spans="1:14">
      <c r="A1467" s="235"/>
      <c r="B1467" s="230" t="s">
        <v>1036</v>
      </c>
      <c r="C1467" s="229">
        <v>268.852965</v>
      </c>
      <c r="D1467" s="229">
        <v>268.852965</v>
      </c>
      <c r="E1467" s="229">
        <v>268.852965</v>
      </c>
      <c r="F1467" s="229"/>
      <c r="G1467" s="229"/>
      <c r="H1467" s="229"/>
      <c r="I1467" s="229"/>
      <c r="J1467" s="229"/>
      <c r="K1467" s="229"/>
      <c r="L1467" s="229"/>
      <c r="M1467" s="229"/>
      <c r="N1467" s="232"/>
    </row>
    <row r="1468" hidden="1" spans="1:14">
      <c r="A1468" s="235"/>
      <c r="B1468" s="230" t="s">
        <v>1027</v>
      </c>
      <c r="C1468" s="229">
        <v>2</v>
      </c>
      <c r="D1468" s="229">
        <v>2</v>
      </c>
      <c r="E1468" s="229">
        <v>2</v>
      </c>
      <c r="F1468" s="229"/>
      <c r="G1468" s="229"/>
      <c r="H1468" s="229"/>
      <c r="I1468" s="229"/>
      <c r="J1468" s="229"/>
      <c r="K1468" s="229"/>
      <c r="L1468" s="229"/>
      <c r="M1468" s="229"/>
      <c r="N1468" s="232"/>
    </row>
    <row r="1469" hidden="1" spans="1:14">
      <c r="A1469" s="235"/>
      <c r="B1469" s="230" t="s">
        <v>1037</v>
      </c>
      <c r="C1469" s="229">
        <v>0.45</v>
      </c>
      <c r="D1469" s="229">
        <v>0.45</v>
      </c>
      <c r="E1469" s="229">
        <v>0.45</v>
      </c>
      <c r="F1469" s="229"/>
      <c r="G1469" s="229"/>
      <c r="H1469" s="229"/>
      <c r="I1469" s="229"/>
      <c r="J1469" s="229"/>
      <c r="K1469" s="229"/>
      <c r="L1469" s="229"/>
      <c r="M1469" s="229"/>
      <c r="N1469" s="232"/>
    </row>
    <row r="1470" hidden="1" spans="1:14">
      <c r="A1470" s="235"/>
      <c r="B1470" s="230" t="s">
        <v>1038</v>
      </c>
      <c r="C1470" s="229">
        <v>0.09</v>
      </c>
      <c r="D1470" s="229">
        <v>0.09</v>
      </c>
      <c r="E1470" s="229">
        <v>0.09</v>
      </c>
      <c r="F1470" s="229"/>
      <c r="G1470" s="229"/>
      <c r="H1470" s="229"/>
      <c r="I1470" s="229"/>
      <c r="J1470" s="229"/>
      <c r="K1470" s="229"/>
      <c r="L1470" s="229"/>
      <c r="M1470" s="229"/>
      <c r="N1470" s="232"/>
    </row>
    <row r="1471" hidden="1" spans="1:14">
      <c r="A1471" s="235"/>
      <c r="B1471" s="230" t="s">
        <v>1032</v>
      </c>
      <c r="C1471" s="229">
        <v>2240.489376</v>
      </c>
      <c r="D1471" s="229">
        <v>2240.489376</v>
      </c>
      <c r="E1471" s="229">
        <v>2240.489376</v>
      </c>
      <c r="F1471" s="229"/>
      <c r="G1471" s="229"/>
      <c r="H1471" s="229"/>
      <c r="I1471" s="229"/>
      <c r="J1471" s="229"/>
      <c r="K1471" s="229"/>
      <c r="L1471" s="229"/>
      <c r="M1471" s="229"/>
      <c r="N1471" s="232"/>
    </row>
    <row r="1472" hidden="1" spans="1:14">
      <c r="A1472" s="235"/>
      <c r="B1472" s="230" t="s">
        <v>1029</v>
      </c>
      <c r="C1472" s="229">
        <v>330.6</v>
      </c>
      <c r="D1472" s="229">
        <v>330.6</v>
      </c>
      <c r="E1472" s="229">
        <v>330.6</v>
      </c>
      <c r="F1472" s="229"/>
      <c r="G1472" s="229"/>
      <c r="H1472" s="229"/>
      <c r="I1472" s="229"/>
      <c r="J1472" s="229"/>
      <c r="K1472" s="229"/>
      <c r="L1472" s="229"/>
      <c r="M1472" s="229"/>
      <c r="N1472" s="232"/>
    </row>
    <row r="1473" hidden="1" spans="1:14">
      <c r="A1473" s="235"/>
      <c r="B1473" s="230" t="s">
        <v>1028</v>
      </c>
      <c r="C1473" s="229">
        <v>18</v>
      </c>
      <c r="D1473" s="229">
        <v>18</v>
      </c>
      <c r="E1473" s="229">
        <v>18</v>
      </c>
      <c r="F1473" s="229"/>
      <c r="G1473" s="229"/>
      <c r="H1473" s="229"/>
      <c r="I1473" s="229"/>
      <c r="J1473" s="229"/>
      <c r="K1473" s="229"/>
      <c r="L1473" s="229"/>
      <c r="M1473" s="229"/>
      <c r="N1473" s="232"/>
    </row>
    <row r="1474" spans="1:14">
      <c r="A1474" s="227" t="s">
        <v>1114</v>
      </c>
      <c r="B1474" s="231" t="s">
        <v>762</v>
      </c>
      <c r="C1474" s="229">
        <v>4571.052965</v>
      </c>
      <c r="D1474" s="229">
        <v>4571.052965</v>
      </c>
      <c r="E1474" s="229">
        <v>4571.052965</v>
      </c>
      <c r="F1474" s="229"/>
      <c r="G1474" s="229"/>
      <c r="H1474" s="229"/>
      <c r="I1474" s="229"/>
      <c r="J1474" s="229"/>
      <c r="K1474" s="229"/>
      <c r="L1474" s="229"/>
      <c r="M1474" s="229"/>
      <c r="N1474" s="233" t="s">
        <v>578</v>
      </c>
    </row>
    <row r="1475" hidden="1" spans="1:14">
      <c r="A1475" s="235"/>
      <c r="B1475" s="230" t="s">
        <v>1039</v>
      </c>
      <c r="C1475" s="229">
        <v>38.752825</v>
      </c>
      <c r="D1475" s="229">
        <v>38.752825</v>
      </c>
      <c r="E1475" s="229">
        <v>38.752825</v>
      </c>
      <c r="F1475" s="229"/>
      <c r="G1475" s="229"/>
      <c r="H1475" s="229"/>
      <c r="I1475" s="229"/>
      <c r="J1475" s="229"/>
      <c r="K1475" s="229"/>
      <c r="L1475" s="229"/>
      <c r="M1475" s="229"/>
      <c r="N1475" s="232"/>
    </row>
    <row r="1476" hidden="1" spans="1:14">
      <c r="A1476" s="235"/>
      <c r="B1476" s="230" t="s">
        <v>1028</v>
      </c>
      <c r="C1476" s="229">
        <v>188.4</v>
      </c>
      <c r="D1476" s="229">
        <v>188.4</v>
      </c>
      <c r="E1476" s="229">
        <v>188.4</v>
      </c>
      <c r="F1476" s="229"/>
      <c r="G1476" s="229"/>
      <c r="H1476" s="229"/>
      <c r="I1476" s="229"/>
      <c r="J1476" s="229"/>
      <c r="K1476" s="229"/>
      <c r="L1476" s="229"/>
      <c r="M1476" s="229"/>
      <c r="N1476" s="232"/>
    </row>
    <row r="1477" hidden="1" spans="1:14">
      <c r="A1477" s="235"/>
      <c r="B1477" s="230" t="s">
        <v>1036</v>
      </c>
      <c r="C1477" s="229">
        <v>354.788826</v>
      </c>
      <c r="D1477" s="229">
        <v>354.788826</v>
      </c>
      <c r="E1477" s="229">
        <v>354.788826</v>
      </c>
      <c r="F1477" s="229"/>
      <c r="G1477" s="229"/>
      <c r="H1477" s="229"/>
      <c r="I1477" s="229"/>
      <c r="J1477" s="229"/>
      <c r="K1477" s="229"/>
      <c r="L1477" s="229"/>
      <c r="M1477" s="229"/>
      <c r="N1477" s="232"/>
    </row>
    <row r="1478" hidden="1" spans="1:14">
      <c r="A1478" s="235"/>
      <c r="B1478" s="230" t="s">
        <v>1029</v>
      </c>
      <c r="C1478" s="229">
        <v>388.67</v>
      </c>
      <c r="D1478" s="229">
        <v>388.67</v>
      </c>
      <c r="E1478" s="229">
        <v>388.67</v>
      </c>
      <c r="F1478" s="229"/>
      <c r="G1478" s="229"/>
      <c r="H1478" s="229"/>
      <c r="I1478" s="229"/>
      <c r="J1478" s="229"/>
      <c r="K1478" s="229"/>
      <c r="L1478" s="229"/>
      <c r="M1478" s="229"/>
      <c r="N1478" s="232"/>
    </row>
    <row r="1479" hidden="1" spans="1:14">
      <c r="A1479" s="235"/>
      <c r="B1479" s="230" t="s">
        <v>1033</v>
      </c>
      <c r="C1479" s="229">
        <v>630.970402</v>
      </c>
      <c r="D1479" s="229">
        <v>630.970402</v>
      </c>
      <c r="E1479" s="229">
        <v>630.970402</v>
      </c>
      <c r="F1479" s="229"/>
      <c r="G1479" s="229"/>
      <c r="H1479" s="229"/>
      <c r="I1479" s="229"/>
      <c r="J1479" s="229"/>
      <c r="K1479" s="229"/>
      <c r="L1479" s="229"/>
      <c r="M1479" s="229"/>
      <c r="N1479" s="232"/>
    </row>
    <row r="1480" hidden="1" spans="1:14">
      <c r="A1480" s="235"/>
      <c r="B1480" s="230" t="s">
        <v>1035</v>
      </c>
      <c r="C1480" s="229">
        <v>15.7</v>
      </c>
      <c r="D1480" s="229">
        <v>15.7</v>
      </c>
      <c r="E1480" s="229">
        <v>15.7</v>
      </c>
      <c r="F1480" s="229"/>
      <c r="G1480" s="229"/>
      <c r="H1480" s="229"/>
      <c r="I1480" s="229"/>
      <c r="J1480" s="229"/>
      <c r="K1480" s="229"/>
      <c r="L1480" s="229"/>
      <c r="M1480" s="229"/>
      <c r="N1480" s="232"/>
    </row>
    <row r="1481" hidden="1" spans="1:14">
      <c r="A1481" s="235"/>
      <c r="B1481" s="230" t="s">
        <v>1037</v>
      </c>
      <c r="C1481" s="229">
        <v>4.71</v>
      </c>
      <c r="D1481" s="229">
        <v>4.71</v>
      </c>
      <c r="E1481" s="229">
        <v>4.71</v>
      </c>
      <c r="F1481" s="229"/>
      <c r="G1481" s="229"/>
      <c r="H1481" s="229"/>
      <c r="I1481" s="229"/>
      <c r="J1481" s="229"/>
      <c r="K1481" s="229"/>
      <c r="L1481" s="229"/>
      <c r="M1481" s="229"/>
      <c r="N1481" s="232"/>
    </row>
    <row r="1482" hidden="1" spans="1:14">
      <c r="A1482" s="235"/>
      <c r="B1482" s="230" t="s">
        <v>1038</v>
      </c>
      <c r="C1482" s="229">
        <v>1.44</v>
      </c>
      <c r="D1482" s="229">
        <v>1.44</v>
      </c>
      <c r="E1482" s="229">
        <v>1.44</v>
      </c>
      <c r="F1482" s="229"/>
      <c r="G1482" s="229"/>
      <c r="H1482" s="229"/>
      <c r="I1482" s="229"/>
      <c r="J1482" s="229"/>
      <c r="K1482" s="229"/>
      <c r="L1482" s="229"/>
      <c r="M1482" s="229"/>
      <c r="N1482" s="232"/>
    </row>
    <row r="1483" hidden="1" spans="1:14">
      <c r="A1483" s="235"/>
      <c r="B1483" s="230" t="s">
        <v>1032</v>
      </c>
      <c r="C1483" s="229">
        <v>2943.564912</v>
      </c>
      <c r="D1483" s="229">
        <v>2943.564912</v>
      </c>
      <c r="E1483" s="229">
        <v>2943.564912</v>
      </c>
      <c r="F1483" s="229"/>
      <c r="G1483" s="229"/>
      <c r="H1483" s="229"/>
      <c r="I1483" s="229"/>
      <c r="J1483" s="229"/>
      <c r="K1483" s="229"/>
      <c r="L1483" s="229"/>
      <c r="M1483" s="229"/>
      <c r="N1483" s="232"/>
    </row>
    <row r="1484" hidden="1" spans="1:14">
      <c r="A1484" s="235"/>
      <c r="B1484" s="230" t="s">
        <v>1034</v>
      </c>
      <c r="C1484" s="229">
        <v>4.056</v>
      </c>
      <c r="D1484" s="229">
        <v>4.056</v>
      </c>
      <c r="E1484" s="229">
        <v>4.056</v>
      </c>
      <c r="F1484" s="229"/>
      <c r="G1484" s="229"/>
      <c r="H1484" s="229"/>
      <c r="I1484" s="229"/>
      <c r="J1484" s="229"/>
      <c r="K1484" s="229"/>
      <c r="L1484" s="229"/>
      <c r="M1484" s="229"/>
      <c r="N1484" s="232"/>
    </row>
    <row r="1485" spans="1:14">
      <c r="A1485" s="227" t="s">
        <v>1115</v>
      </c>
      <c r="B1485" s="231" t="s">
        <v>763</v>
      </c>
      <c r="C1485" s="229">
        <v>2812.172263</v>
      </c>
      <c r="D1485" s="229">
        <v>2812.172263</v>
      </c>
      <c r="E1485" s="229">
        <v>2812.172263</v>
      </c>
      <c r="F1485" s="229"/>
      <c r="G1485" s="229"/>
      <c r="H1485" s="229"/>
      <c r="I1485" s="229"/>
      <c r="J1485" s="229"/>
      <c r="K1485" s="229"/>
      <c r="L1485" s="229"/>
      <c r="M1485" s="229"/>
      <c r="N1485" s="233" t="s">
        <v>578</v>
      </c>
    </row>
    <row r="1486" hidden="1" spans="1:14">
      <c r="A1486" s="235"/>
      <c r="B1486" s="230" t="s">
        <v>1038</v>
      </c>
      <c r="C1486" s="229">
        <v>0.75</v>
      </c>
      <c r="D1486" s="229">
        <v>0.75</v>
      </c>
      <c r="E1486" s="229">
        <v>0.75</v>
      </c>
      <c r="F1486" s="229"/>
      <c r="G1486" s="229"/>
      <c r="H1486" s="229"/>
      <c r="I1486" s="229"/>
      <c r="J1486" s="229"/>
      <c r="K1486" s="229"/>
      <c r="L1486" s="229"/>
      <c r="M1486" s="229"/>
      <c r="N1486" s="232"/>
    </row>
    <row r="1487" hidden="1" spans="1:14">
      <c r="A1487" s="235"/>
      <c r="B1487" s="230" t="s">
        <v>1039</v>
      </c>
      <c r="C1487" s="229">
        <v>24.402307</v>
      </c>
      <c r="D1487" s="229">
        <v>24.402307</v>
      </c>
      <c r="E1487" s="229">
        <v>24.402307</v>
      </c>
      <c r="F1487" s="229"/>
      <c r="G1487" s="229"/>
      <c r="H1487" s="229"/>
      <c r="I1487" s="229"/>
      <c r="J1487" s="229"/>
      <c r="K1487" s="229"/>
      <c r="L1487" s="229"/>
      <c r="M1487" s="229"/>
      <c r="N1487" s="232"/>
    </row>
    <row r="1488" hidden="1" spans="1:14">
      <c r="A1488" s="235"/>
      <c r="B1488" s="230" t="s">
        <v>1033</v>
      </c>
      <c r="C1488" s="229">
        <v>396.392305</v>
      </c>
      <c r="D1488" s="229">
        <v>396.392305</v>
      </c>
      <c r="E1488" s="229">
        <v>396.392305</v>
      </c>
      <c r="F1488" s="229"/>
      <c r="G1488" s="229"/>
      <c r="H1488" s="229"/>
      <c r="I1488" s="229"/>
      <c r="J1488" s="229"/>
      <c r="K1488" s="229"/>
      <c r="L1488" s="229"/>
      <c r="M1488" s="229"/>
      <c r="N1488" s="232"/>
    </row>
    <row r="1489" hidden="1" spans="1:14">
      <c r="A1489" s="235"/>
      <c r="B1489" s="230" t="s">
        <v>1034</v>
      </c>
      <c r="C1489" s="229">
        <v>5.07</v>
      </c>
      <c r="D1489" s="229">
        <v>5.07</v>
      </c>
      <c r="E1489" s="229">
        <v>5.07</v>
      </c>
      <c r="F1489" s="229"/>
      <c r="G1489" s="229"/>
      <c r="H1489" s="229"/>
      <c r="I1489" s="229"/>
      <c r="J1489" s="229"/>
      <c r="K1489" s="229"/>
      <c r="L1489" s="229"/>
      <c r="M1489" s="229"/>
      <c r="N1489" s="232"/>
    </row>
    <row r="1490" hidden="1" spans="1:14">
      <c r="A1490" s="235"/>
      <c r="B1490" s="230" t="s">
        <v>1027</v>
      </c>
      <c r="C1490" s="229">
        <v>2</v>
      </c>
      <c r="D1490" s="229">
        <v>2</v>
      </c>
      <c r="E1490" s="229">
        <v>2</v>
      </c>
      <c r="F1490" s="229"/>
      <c r="G1490" s="229"/>
      <c r="H1490" s="229"/>
      <c r="I1490" s="229"/>
      <c r="J1490" s="229"/>
      <c r="K1490" s="229"/>
      <c r="L1490" s="229"/>
      <c r="M1490" s="229"/>
      <c r="N1490" s="232"/>
    </row>
    <row r="1491" hidden="1" spans="1:14">
      <c r="A1491" s="235"/>
      <c r="B1491" s="230" t="s">
        <v>1032</v>
      </c>
      <c r="C1491" s="229">
        <v>1829.330184</v>
      </c>
      <c r="D1491" s="229">
        <v>1829.330184</v>
      </c>
      <c r="E1491" s="229">
        <v>1829.330184</v>
      </c>
      <c r="F1491" s="229"/>
      <c r="G1491" s="229"/>
      <c r="H1491" s="229"/>
      <c r="I1491" s="229"/>
      <c r="J1491" s="229"/>
      <c r="K1491" s="229"/>
      <c r="L1491" s="229"/>
      <c r="M1491" s="229"/>
      <c r="N1491" s="232"/>
    </row>
    <row r="1492" hidden="1" spans="1:14">
      <c r="A1492" s="235"/>
      <c r="B1492" s="230" t="s">
        <v>1035</v>
      </c>
      <c r="C1492" s="229">
        <v>9.1</v>
      </c>
      <c r="D1492" s="229">
        <v>9.1</v>
      </c>
      <c r="E1492" s="229">
        <v>9.1</v>
      </c>
      <c r="F1492" s="229"/>
      <c r="G1492" s="229"/>
      <c r="H1492" s="229"/>
      <c r="I1492" s="229"/>
      <c r="J1492" s="229"/>
      <c r="K1492" s="229"/>
      <c r="L1492" s="229"/>
      <c r="M1492" s="229"/>
      <c r="N1492" s="232"/>
    </row>
    <row r="1493" hidden="1" spans="1:14">
      <c r="A1493" s="235"/>
      <c r="B1493" s="230" t="s">
        <v>1028</v>
      </c>
      <c r="C1493" s="229">
        <v>109.2</v>
      </c>
      <c r="D1493" s="229">
        <v>109.2</v>
      </c>
      <c r="E1493" s="229">
        <v>109.2</v>
      </c>
      <c r="F1493" s="229"/>
      <c r="G1493" s="229"/>
      <c r="H1493" s="229"/>
      <c r="I1493" s="229"/>
      <c r="J1493" s="229"/>
      <c r="K1493" s="229"/>
      <c r="L1493" s="229"/>
      <c r="M1493" s="229"/>
      <c r="N1493" s="232"/>
    </row>
    <row r="1494" hidden="1" spans="1:14">
      <c r="A1494" s="235"/>
      <c r="B1494" s="230" t="s">
        <v>1029</v>
      </c>
      <c r="C1494" s="229">
        <v>212.266</v>
      </c>
      <c r="D1494" s="229">
        <v>212.266</v>
      </c>
      <c r="E1494" s="229">
        <v>212.266</v>
      </c>
      <c r="F1494" s="229"/>
      <c r="G1494" s="229"/>
      <c r="H1494" s="229"/>
      <c r="I1494" s="229"/>
      <c r="J1494" s="229"/>
      <c r="K1494" s="229"/>
      <c r="L1494" s="229"/>
      <c r="M1494" s="229"/>
      <c r="N1494" s="232"/>
    </row>
    <row r="1495" hidden="1" spans="1:14">
      <c r="A1495" s="235"/>
      <c r="B1495" s="230" t="s">
        <v>1036</v>
      </c>
      <c r="C1495" s="229">
        <v>220.931467</v>
      </c>
      <c r="D1495" s="229">
        <v>220.931467</v>
      </c>
      <c r="E1495" s="229">
        <v>220.931467</v>
      </c>
      <c r="F1495" s="229"/>
      <c r="G1495" s="229"/>
      <c r="H1495" s="229"/>
      <c r="I1495" s="229"/>
      <c r="J1495" s="229"/>
      <c r="K1495" s="229"/>
      <c r="L1495" s="229"/>
      <c r="M1495" s="229"/>
      <c r="N1495" s="232"/>
    </row>
    <row r="1496" hidden="1" spans="1:14">
      <c r="A1496" s="235"/>
      <c r="B1496" s="230" t="s">
        <v>1037</v>
      </c>
      <c r="C1496" s="229">
        <v>2.73</v>
      </c>
      <c r="D1496" s="229">
        <v>2.73</v>
      </c>
      <c r="E1496" s="229">
        <v>2.73</v>
      </c>
      <c r="F1496" s="229"/>
      <c r="G1496" s="229"/>
      <c r="H1496" s="229"/>
      <c r="I1496" s="229"/>
      <c r="J1496" s="229"/>
      <c r="K1496" s="229"/>
      <c r="L1496" s="229"/>
      <c r="M1496" s="229"/>
      <c r="N1496" s="232"/>
    </row>
    <row r="1497" spans="1:14">
      <c r="A1497" s="227" t="s">
        <v>1116</v>
      </c>
      <c r="B1497" s="231" t="s">
        <v>764</v>
      </c>
      <c r="C1497" s="229">
        <v>6226.108764</v>
      </c>
      <c r="D1497" s="229">
        <v>5306.108764</v>
      </c>
      <c r="E1497" s="229">
        <v>5306.108764</v>
      </c>
      <c r="F1497" s="229"/>
      <c r="G1497" s="229">
        <v>920</v>
      </c>
      <c r="H1497" s="229"/>
      <c r="I1497" s="229"/>
      <c r="J1497" s="229"/>
      <c r="K1497" s="229"/>
      <c r="L1497" s="229"/>
      <c r="M1497" s="229"/>
      <c r="N1497" s="233" t="s">
        <v>578</v>
      </c>
    </row>
    <row r="1498" hidden="1" spans="1:14">
      <c r="A1498" s="235"/>
      <c r="B1498" s="230" t="s">
        <v>1036</v>
      </c>
      <c r="C1498" s="229">
        <v>306.75335</v>
      </c>
      <c r="D1498" s="229">
        <v>306.75335</v>
      </c>
      <c r="E1498" s="229">
        <v>306.75335</v>
      </c>
      <c r="F1498" s="229"/>
      <c r="G1498" s="229"/>
      <c r="H1498" s="229"/>
      <c r="I1498" s="229"/>
      <c r="J1498" s="229"/>
      <c r="K1498" s="229"/>
      <c r="L1498" s="229"/>
      <c r="M1498" s="229"/>
      <c r="N1498" s="232"/>
    </row>
    <row r="1499" hidden="1" spans="1:14">
      <c r="A1499" s="235"/>
      <c r="B1499" s="230" t="s">
        <v>1028</v>
      </c>
      <c r="C1499" s="229">
        <v>128.4</v>
      </c>
      <c r="D1499" s="229">
        <v>128.4</v>
      </c>
      <c r="E1499" s="229">
        <v>128.4</v>
      </c>
      <c r="F1499" s="229"/>
      <c r="G1499" s="229"/>
      <c r="H1499" s="229"/>
      <c r="I1499" s="229"/>
      <c r="J1499" s="229"/>
      <c r="K1499" s="229"/>
      <c r="L1499" s="229"/>
      <c r="M1499" s="229"/>
      <c r="N1499" s="232"/>
    </row>
    <row r="1500" hidden="1" spans="1:14">
      <c r="A1500" s="235"/>
      <c r="B1500" s="230" t="s">
        <v>1037</v>
      </c>
      <c r="C1500" s="229">
        <v>3.21</v>
      </c>
      <c r="D1500" s="229">
        <v>3.21</v>
      </c>
      <c r="E1500" s="229">
        <v>3.21</v>
      </c>
      <c r="F1500" s="229"/>
      <c r="G1500" s="229"/>
      <c r="H1500" s="229"/>
      <c r="I1500" s="229"/>
      <c r="J1500" s="229"/>
      <c r="K1500" s="229"/>
      <c r="L1500" s="229"/>
      <c r="M1500" s="229"/>
      <c r="N1500" s="232"/>
    </row>
    <row r="1501" hidden="1" spans="1:14">
      <c r="A1501" s="235"/>
      <c r="B1501" s="230" t="s">
        <v>1106</v>
      </c>
      <c r="C1501" s="229">
        <v>22.2</v>
      </c>
      <c r="D1501" s="229"/>
      <c r="E1501" s="229"/>
      <c r="F1501" s="229"/>
      <c r="G1501" s="229">
        <v>22.2</v>
      </c>
      <c r="H1501" s="229"/>
      <c r="I1501" s="229"/>
      <c r="J1501" s="229"/>
      <c r="K1501" s="229"/>
      <c r="L1501" s="229"/>
      <c r="M1501" s="229"/>
      <c r="N1501" s="232"/>
    </row>
    <row r="1502" hidden="1" spans="1:14">
      <c r="A1502" s="235"/>
      <c r="B1502" s="230" t="s">
        <v>1038</v>
      </c>
      <c r="C1502" s="229">
        <v>1.23</v>
      </c>
      <c r="D1502" s="229">
        <v>1.23</v>
      </c>
      <c r="E1502" s="229">
        <v>1.23</v>
      </c>
      <c r="F1502" s="229"/>
      <c r="G1502" s="229"/>
      <c r="H1502" s="229"/>
      <c r="I1502" s="229"/>
      <c r="J1502" s="229"/>
      <c r="K1502" s="229"/>
      <c r="L1502" s="229"/>
      <c r="M1502" s="229"/>
      <c r="N1502" s="232"/>
    </row>
    <row r="1503" hidden="1" spans="1:14">
      <c r="A1503" s="235"/>
      <c r="B1503" s="230" t="s">
        <v>1034</v>
      </c>
      <c r="C1503" s="229">
        <v>9.204</v>
      </c>
      <c r="D1503" s="229">
        <v>9.204</v>
      </c>
      <c r="E1503" s="229">
        <v>9.204</v>
      </c>
      <c r="F1503" s="229"/>
      <c r="G1503" s="229"/>
      <c r="H1503" s="229"/>
      <c r="I1503" s="229"/>
      <c r="J1503" s="229"/>
      <c r="K1503" s="229"/>
      <c r="L1503" s="229"/>
      <c r="M1503" s="229"/>
      <c r="N1503" s="232"/>
    </row>
    <row r="1504" hidden="1" spans="1:14">
      <c r="A1504" s="235"/>
      <c r="B1504" s="230" t="s">
        <v>1033</v>
      </c>
      <c r="C1504" s="229">
        <v>788.269136</v>
      </c>
      <c r="D1504" s="229">
        <v>788.269136</v>
      </c>
      <c r="E1504" s="229">
        <v>788.269136</v>
      </c>
      <c r="F1504" s="229"/>
      <c r="G1504" s="229"/>
      <c r="H1504" s="229"/>
      <c r="I1504" s="229"/>
      <c r="J1504" s="229"/>
      <c r="K1504" s="229"/>
      <c r="L1504" s="229"/>
      <c r="M1504" s="229"/>
      <c r="N1504" s="232"/>
    </row>
    <row r="1505" hidden="1" spans="1:14">
      <c r="A1505" s="235"/>
      <c r="B1505" s="230" t="s">
        <v>1039</v>
      </c>
      <c r="C1505" s="229">
        <v>51.125558</v>
      </c>
      <c r="D1505" s="229">
        <v>51.125558</v>
      </c>
      <c r="E1505" s="229">
        <v>51.125558</v>
      </c>
      <c r="F1505" s="229"/>
      <c r="G1505" s="229"/>
      <c r="H1505" s="229"/>
      <c r="I1505" s="229"/>
      <c r="J1505" s="229"/>
      <c r="K1505" s="229"/>
      <c r="L1505" s="229"/>
      <c r="M1505" s="229"/>
      <c r="N1505" s="232"/>
    </row>
    <row r="1506" hidden="1" spans="1:14">
      <c r="A1506" s="235"/>
      <c r="B1506" s="230" t="s">
        <v>1032</v>
      </c>
      <c r="C1506" s="229">
        <v>4178.07672</v>
      </c>
      <c r="D1506" s="229">
        <v>3539.25672</v>
      </c>
      <c r="E1506" s="229">
        <v>3539.25672</v>
      </c>
      <c r="F1506" s="229"/>
      <c r="G1506" s="229">
        <v>638.82</v>
      </c>
      <c r="H1506" s="229"/>
      <c r="I1506" s="229"/>
      <c r="J1506" s="229"/>
      <c r="K1506" s="229"/>
      <c r="L1506" s="229"/>
      <c r="M1506" s="229"/>
      <c r="N1506" s="232"/>
    </row>
    <row r="1507" hidden="1" spans="1:14">
      <c r="A1507" s="235"/>
      <c r="B1507" s="230" t="s">
        <v>1027</v>
      </c>
      <c r="C1507" s="229">
        <v>2</v>
      </c>
      <c r="D1507" s="229">
        <v>2</v>
      </c>
      <c r="E1507" s="229">
        <v>2</v>
      </c>
      <c r="F1507" s="229"/>
      <c r="G1507" s="229"/>
      <c r="H1507" s="229"/>
      <c r="I1507" s="229"/>
      <c r="J1507" s="229"/>
      <c r="K1507" s="229"/>
      <c r="L1507" s="229"/>
      <c r="M1507" s="229"/>
      <c r="N1507" s="232"/>
    </row>
    <row r="1508" hidden="1" spans="1:14">
      <c r="A1508" s="235"/>
      <c r="B1508" s="230" t="s">
        <v>1029</v>
      </c>
      <c r="C1508" s="229">
        <v>724.94</v>
      </c>
      <c r="D1508" s="229">
        <v>465.96</v>
      </c>
      <c r="E1508" s="229">
        <v>465.96</v>
      </c>
      <c r="F1508" s="229"/>
      <c r="G1508" s="229">
        <v>258.98</v>
      </c>
      <c r="H1508" s="229"/>
      <c r="I1508" s="229"/>
      <c r="J1508" s="229"/>
      <c r="K1508" s="229"/>
      <c r="L1508" s="229"/>
      <c r="M1508" s="229"/>
      <c r="N1508" s="232"/>
    </row>
    <row r="1509" hidden="1" spans="1:14">
      <c r="A1509" s="235"/>
      <c r="B1509" s="230" t="s">
        <v>1035</v>
      </c>
      <c r="C1509" s="229">
        <v>10.7</v>
      </c>
      <c r="D1509" s="229">
        <v>10.7</v>
      </c>
      <c r="E1509" s="229">
        <v>10.7</v>
      </c>
      <c r="F1509" s="229"/>
      <c r="G1509" s="229"/>
      <c r="H1509" s="229"/>
      <c r="I1509" s="229"/>
      <c r="J1509" s="229"/>
      <c r="K1509" s="229"/>
      <c r="L1509" s="229"/>
      <c r="M1509" s="229"/>
      <c r="N1509" s="232"/>
    </row>
    <row r="1510" spans="1:14">
      <c r="A1510" s="227" t="s">
        <v>1117</v>
      </c>
      <c r="B1510" s="231" t="s">
        <v>765</v>
      </c>
      <c r="C1510" s="229">
        <v>6615.675023</v>
      </c>
      <c r="D1510" s="229">
        <v>5740.495023</v>
      </c>
      <c r="E1510" s="229">
        <v>5740.495023</v>
      </c>
      <c r="F1510" s="229"/>
      <c r="G1510" s="229">
        <v>875.18</v>
      </c>
      <c r="H1510" s="229"/>
      <c r="I1510" s="229"/>
      <c r="J1510" s="229"/>
      <c r="K1510" s="229"/>
      <c r="L1510" s="229"/>
      <c r="M1510" s="229"/>
      <c r="N1510" s="233" t="s">
        <v>578</v>
      </c>
    </row>
    <row r="1511" hidden="1" spans="1:14">
      <c r="A1511" s="235"/>
      <c r="B1511" s="230" t="s">
        <v>1037</v>
      </c>
      <c r="C1511" s="229">
        <v>3.42</v>
      </c>
      <c r="D1511" s="229">
        <v>3.42</v>
      </c>
      <c r="E1511" s="229">
        <v>3.42</v>
      </c>
      <c r="F1511" s="229"/>
      <c r="G1511" s="229"/>
      <c r="H1511" s="229"/>
      <c r="I1511" s="229"/>
      <c r="J1511" s="229"/>
      <c r="K1511" s="229"/>
      <c r="L1511" s="229"/>
      <c r="M1511" s="229"/>
      <c r="N1511" s="232"/>
    </row>
    <row r="1512" hidden="1" spans="1:14">
      <c r="A1512" s="235"/>
      <c r="B1512" s="230" t="s">
        <v>1038</v>
      </c>
      <c r="C1512" s="229">
        <v>1.02</v>
      </c>
      <c r="D1512" s="229">
        <v>1.02</v>
      </c>
      <c r="E1512" s="229">
        <v>1.02</v>
      </c>
      <c r="F1512" s="229"/>
      <c r="G1512" s="229"/>
      <c r="H1512" s="229"/>
      <c r="I1512" s="229"/>
      <c r="J1512" s="229"/>
      <c r="K1512" s="229"/>
      <c r="L1512" s="229"/>
      <c r="M1512" s="229"/>
      <c r="N1512" s="232"/>
    </row>
    <row r="1513" hidden="1" spans="1:14">
      <c r="A1513" s="235"/>
      <c r="B1513" s="230" t="s">
        <v>1039</v>
      </c>
      <c r="C1513" s="229">
        <v>46.041592</v>
      </c>
      <c r="D1513" s="229">
        <v>46.041592</v>
      </c>
      <c r="E1513" s="229">
        <v>46.041592</v>
      </c>
      <c r="F1513" s="229"/>
      <c r="G1513" s="229"/>
      <c r="H1513" s="229"/>
      <c r="I1513" s="229"/>
      <c r="J1513" s="229"/>
      <c r="K1513" s="229"/>
      <c r="L1513" s="229"/>
      <c r="M1513" s="229"/>
      <c r="N1513" s="232"/>
    </row>
    <row r="1514" hidden="1" spans="1:14">
      <c r="A1514" s="235"/>
      <c r="B1514" s="230" t="s">
        <v>1034</v>
      </c>
      <c r="C1514" s="229">
        <v>6.084</v>
      </c>
      <c r="D1514" s="229">
        <v>6.084</v>
      </c>
      <c r="E1514" s="229">
        <v>6.084</v>
      </c>
      <c r="F1514" s="229"/>
      <c r="G1514" s="229"/>
      <c r="H1514" s="229"/>
      <c r="I1514" s="229"/>
      <c r="J1514" s="229"/>
      <c r="K1514" s="229"/>
      <c r="L1514" s="229"/>
      <c r="M1514" s="229"/>
      <c r="N1514" s="232"/>
    </row>
    <row r="1515" hidden="1" spans="1:14">
      <c r="A1515" s="235"/>
      <c r="B1515" s="230" t="s">
        <v>1029</v>
      </c>
      <c r="C1515" s="229">
        <v>917.8546</v>
      </c>
      <c r="D1515" s="229">
        <v>506.52</v>
      </c>
      <c r="E1515" s="229">
        <v>506.52</v>
      </c>
      <c r="F1515" s="229"/>
      <c r="G1515" s="229">
        <v>411.3346</v>
      </c>
      <c r="H1515" s="229"/>
      <c r="I1515" s="229"/>
      <c r="J1515" s="229"/>
      <c r="K1515" s="229"/>
      <c r="L1515" s="229"/>
      <c r="M1515" s="229"/>
      <c r="N1515" s="232"/>
    </row>
    <row r="1516" hidden="1" spans="1:14">
      <c r="A1516" s="235"/>
      <c r="B1516" s="230" t="s">
        <v>1036</v>
      </c>
      <c r="C1516" s="229">
        <v>389.689554</v>
      </c>
      <c r="D1516" s="229">
        <v>276.249554</v>
      </c>
      <c r="E1516" s="229">
        <v>276.249554</v>
      </c>
      <c r="F1516" s="229"/>
      <c r="G1516" s="229">
        <v>113.44</v>
      </c>
      <c r="H1516" s="229"/>
      <c r="I1516" s="229"/>
      <c r="J1516" s="229"/>
      <c r="K1516" s="229"/>
      <c r="L1516" s="229"/>
      <c r="M1516" s="229"/>
      <c r="N1516" s="232"/>
    </row>
    <row r="1517" hidden="1" spans="1:14">
      <c r="A1517" s="235"/>
      <c r="B1517" s="230" t="s">
        <v>1035</v>
      </c>
      <c r="C1517" s="229">
        <v>11.4</v>
      </c>
      <c r="D1517" s="229">
        <v>11.4</v>
      </c>
      <c r="E1517" s="229">
        <v>11.4</v>
      </c>
      <c r="F1517" s="229"/>
      <c r="G1517" s="229"/>
      <c r="H1517" s="229"/>
      <c r="I1517" s="229"/>
      <c r="J1517" s="229"/>
      <c r="K1517" s="229"/>
      <c r="L1517" s="229"/>
      <c r="M1517" s="229"/>
      <c r="N1517" s="232"/>
    </row>
    <row r="1518" hidden="1" spans="1:14">
      <c r="A1518" s="235"/>
      <c r="B1518" s="230" t="s">
        <v>1033</v>
      </c>
      <c r="C1518" s="229">
        <v>713.828153</v>
      </c>
      <c r="D1518" s="229">
        <v>713.828153</v>
      </c>
      <c r="E1518" s="229">
        <v>713.828153</v>
      </c>
      <c r="F1518" s="229"/>
      <c r="G1518" s="229"/>
      <c r="H1518" s="229"/>
      <c r="I1518" s="229"/>
      <c r="J1518" s="229"/>
      <c r="K1518" s="229"/>
      <c r="L1518" s="229"/>
      <c r="M1518" s="229"/>
      <c r="N1518" s="232"/>
    </row>
    <row r="1519" hidden="1" spans="1:14">
      <c r="A1519" s="235"/>
      <c r="B1519" s="230" t="s">
        <v>1027</v>
      </c>
      <c r="C1519" s="229">
        <v>2</v>
      </c>
      <c r="D1519" s="229">
        <v>2</v>
      </c>
      <c r="E1519" s="229">
        <v>2</v>
      </c>
      <c r="F1519" s="229"/>
      <c r="G1519" s="229"/>
      <c r="H1519" s="229"/>
      <c r="I1519" s="229"/>
      <c r="J1519" s="229"/>
      <c r="K1519" s="229"/>
      <c r="L1519" s="229"/>
      <c r="M1519" s="229"/>
      <c r="N1519" s="232"/>
    </row>
    <row r="1520" hidden="1" spans="1:14">
      <c r="A1520" s="235"/>
      <c r="B1520" s="230" t="s">
        <v>1032</v>
      </c>
      <c r="C1520" s="229">
        <v>4338.866324</v>
      </c>
      <c r="D1520" s="229">
        <v>4014.716324</v>
      </c>
      <c r="E1520" s="229">
        <v>4014.716324</v>
      </c>
      <c r="F1520" s="229"/>
      <c r="G1520" s="229">
        <v>324.15</v>
      </c>
      <c r="H1520" s="229"/>
      <c r="I1520" s="229"/>
      <c r="J1520" s="229"/>
      <c r="K1520" s="229"/>
      <c r="L1520" s="229"/>
      <c r="M1520" s="229"/>
      <c r="N1520" s="232"/>
    </row>
    <row r="1521" hidden="1" spans="1:14">
      <c r="A1521" s="235"/>
      <c r="B1521" s="230" t="s">
        <v>1028</v>
      </c>
      <c r="C1521" s="229">
        <v>136.8</v>
      </c>
      <c r="D1521" s="229">
        <v>136.8</v>
      </c>
      <c r="E1521" s="229">
        <v>136.8</v>
      </c>
      <c r="F1521" s="229"/>
      <c r="G1521" s="229"/>
      <c r="H1521" s="229"/>
      <c r="I1521" s="229"/>
      <c r="J1521" s="229"/>
      <c r="K1521" s="229"/>
      <c r="L1521" s="229"/>
      <c r="M1521" s="229"/>
      <c r="N1521" s="232"/>
    </row>
    <row r="1522" hidden="1" spans="1:14">
      <c r="A1522" s="235"/>
      <c r="B1522" s="230" t="s">
        <v>1106</v>
      </c>
      <c r="C1522" s="229">
        <v>48.6708</v>
      </c>
      <c r="D1522" s="229">
        <v>22.4154</v>
      </c>
      <c r="E1522" s="229">
        <v>22.4154</v>
      </c>
      <c r="F1522" s="229"/>
      <c r="G1522" s="229">
        <v>26.2554</v>
      </c>
      <c r="H1522" s="229"/>
      <c r="I1522" s="229"/>
      <c r="J1522" s="229"/>
      <c r="K1522" s="229"/>
      <c r="L1522" s="229"/>
      <c r="M1522" s="229"/>
      <c r="N1522" s="232"/>
    </row>
    <row r="1523" spans="1:14">
      <c r="A1523" s="227" t="s">
        <v>1118</v>
      </c>
      <c r="B1523" s="231" t="s">
        <v>766</v>
      </c>
      <c r="C1523" s="229">
        <v>4845.478217</v>
      </c>
      <c r="D1523" s="229">
        <v>4090.418217</v>
      </c>
      <c r="E1523" s="229">
        <v>4090.418217</v>
      </c>
      <c r="F1523" s="229"/>
      <c r="G1523" s="229">
        <v>755.06</v>
      </c>
      <c r="H1523" s="229"/>
      <c r="I1523" s="229"/>
      <c r="J1523" s="229"/>
      <c r="K1523" s="229"/>
      <c r="L1523" s="229"/>
      <c r="M1523" s="229"/>
      <c r="N1523" s="233" t="s">
        <v>578</v>
      </c>
    </row>
    <row r="1524" hidden="1" spans="1:14">
      <c r="A1524" s="235"/>
      <c r="B1524" s="230" t="s">
        <v>1038</v>
      </c>
      <c r="C1524" s="229">
        <v>1.41</v>
      </c>
      <c r="D1524" s="229">
        <v>1.41</v>
      </c>
      <c r="E1524" s="229">
        <v>1.41</v>
      </c>
      <c r="F1524" s="229"/>
      <c r="G1524" s="229"/>
      <c r="H1524" s="229"/>
      <c r="I1524" s="229"/>
      <c r="J1524" s="229"/>
      <c r="K1524" s="229"/>
      <c r="L1524" s="229"/>
      <c r="M1524" s="229"/>
      <c r="N1524" s="232"/>
    </row>
    <row r="1525" hidden="1" spans="1:14">
      <c r="A1525" s="235"/>
      <c r="B1525" s="230" t="s">
        <v>1037</v>
      </c>
      <c r="C1525" s="229">
        <v>3.66</v>
      </c>
      <c r="D1525" s="229">
        <v>3.66</v>
      </c>
      <c r="E1525" s="229">
        <v>3.66</v>
      </c>
      <c r="F1525" s="229"/>
      <c r="G1525" s="229"/>
      <c r="H1525" s="229"/>
      <c r="I1525" s="229"/>
      <c r="J1525" s="229"/>
      <c r="K1525" s="229"/>
      <c r="L1525" s="229"/>
      <c r="M1525" s="229"/>
      <c r="N1525" s="232"/>
    </row>
    <row r="1526" hidden="1" spans="1:14">
      <c r="A1526" s="235"/>
      <c r="B1526" s="230" t="s">
        <v>1039</v>
      </c>
      <c r="C1526" s="229">
        <v>37.422704</v>
      </c>
      <c r="D1526" s="229">
        <v>37.422704</v>
      </c>
      <c r="E1526" s="229">
        <v>37.422704</v>
      </c>
      <c r="F1526" s="229"/>
      <c r="G1526" s="229"/>
      <c r="H1526" s="229"/>
      <c r="I1526" s="229"/>
      <c r="J1526" s="229"/>
      <c r="K1526" s="229"/>
      <c r="L1526" s="229"/>
      <c r="M1526" s="229"/>
      <c r="N1526" s="232"/>
    </row>
    <row r="1527" hidden="1" spans="1:14">
      <c r="A1527" s="235"/>
      <c r="B1527" s="230" t="s">
        <v>1034</v>
      </c>
      <c r="C1527" s="229">
        <v>14.196</v>
      </c>
      <c r="D1527" s="229">
        <v>14.196</v>
      </c>
      <c r="E1527" s="229">
        <v>14.196</v>
      </c>
      <c r="F1527" s="229"/>
      <c r="G1527" s="229"/>
      <c r="H1527" s="229"/>
      <c r="I1527" s="229"/>
      <c r="J1527" s="229"/>
      <c r="K1527" s="229"/>
      <c r="L1527" s="229"/>
      <c r="M1527" s="229"/>
      <c r="N1527" s="232"/>
    </row>
    <row r="1528" hidden="1" spans="1:14">
      <c r="A1528" s="235"/>
      <c r="B1528" s="230" t="s">
        <v>1028</v>
      </c>
      <c r="C1528" s="229">
        <v>146.4</v>
      </c>
      <c r="D1528" s="229">
        <v>146.4</v>
      </c>
      <c r="E1528" s="229">
        <v>146.4</v>
      </c>
      <c r="F1528" s="229"/>
      <c r="G1528" s="229"/>
      <c r="H1528" s="229"/>
      <c r="I1528" s="229"/>
      <c r="J1528" s="229"/>
      <c r="K1528" s="229"/>
      <c r="L1528" s="229"/>
      <c r="M1528" s="229"/>
      <c r="N1528" s="232"/>
    </row>
    <row r="1529" hidden="1" spans="1:14">
      <c r="A1529" s="235"/>
      <c r="B1529" s="230" t="s">
        <v>1106</v>
      </c>
      <c r="C1529" s="229">
        <v>38.8908</v>
      </c>
      <c r="D1529" s="229">
        <v>19.4454</v>
      </c>
      <c r="E1529" s="229">
        <v>19.4454</v>
      </c>
      <c r="F1529" s="229"/>
      <c r="G1529" s="229">
        <v>19.4454</v>
      </c>
      <c r="H1529" s="229"/>
      <c r="I1529" s="229"/>
      <c r="J1529" s="229"/>
      <c r="K1529" s="229"/>
      <c r="L1529" s="229"/>
      <c r="M1529" s="229"/>
      <c r="N1529" s="232"/>
    </row>
    <row r="1530" hidden="1" spans="1:14">
      <c r="A1530" s="235"/>
      <c r="B1530" s="230" t="s">
        <v>1035</v>
      </c>
      <c r="C1530" s="229">
        <v>12.2</v>
      </c>
      <c r="D1530" s="229">
        <v>12.2</v>
      </c>
      <c r="E1530" s="229">
        <v>12.2</v>
      </c>
      <c r="F1530" s="229"/>
      <c r="G1530" s="229"/>
      <c r="H1530" s="229"/>
      <c r="I1530" s="229"/>
      <c r="J1530" s="229"/>
      <c r="K1530" s="229"/>
      <c r="L1530" s="229"/>
      <c r="M1530" s="229"/>
      <c r="N1530" s="232"/>
    </row>
    <row r="1531" hidden="1" spans="1:14">
      <c r="A1531" s="235"/>
      <c r="B1531" s="230" t="s">
        <v>1033</v>
      </c>
      <c r="C1531" s="229">
        <v>592.816689</v>
      </c>
      <c r="D1531" s="229">
        <v>592.816689</v>
      </c>
      <c r="E1531" s="229">
        <v>592.816689</v>
      </c>
      <c r="F1531" s="229"/>
      <c r="G1531" s="229"/>
      <c r="H1531" s="229"/>
      <c r="I1531" s="229"/>
      <c r="J1531" s="229"/>
      <c r="K1531" s="229"/>
      <c r="L1531" s="229"/>
      <c r="M1531" s="229"/>
      <c r="N1531" s="232"/>
    </row>
    <row r="1532" hidden="1" spans="1:14">
      <c r="A1532" s="235"/>
      <c r="B1532" s="230" t="s">
        <v>1029</v>
      </c>
      <c r="C1532" s="229">
        <v>605.19894</v>
      </c>
      <c r="D1532" s="229">
        <v>432.12</v>
      </c>
      <c r="E1532" s="229">
        <v>432.12</v>
      </c>
      <c r="F1532" s="229"/>
      <c r="G1532" s="229">
        <v>173.07894</v>
      </c>
      <c r="H1532" s="229"/>
      <c r="I1532" s="229"/>
      <c r="J1532" s="229"/>
      <c r="K1532" s="229"/>
      <c r="L1532" s="229"/>
      <c r="M1532" s="229"/>
      <c r="N1532" s="232"/>
    </row>
    <row r="1533" hidden="1" spans="1:14">
      <c r="A1533" s="235"/>
      <c r="B1533" s="230" t="s">
        <v>1032</v>
      </c>
      <c r="C1533" s="229">
        <v>3146.74686</v>
      </c>
      <c r="D1533" s="229">
        <v>2604.2112</v>
      </c>
      <c r="E1533" s="229">
        <v>2604.2112</v>
      </c>
      <c r="F1533" s="229"/>
      <c r="G1533" s="229">
        <v>542.53566</v>
      </c>
      <c r="H1533" s="229"/>
      <c r="I1533" s="229"/>
      <c r="J1533" s="229"/>
      <c r="K1533" s="229"/>
      <c r="L1533" s="229"/>
      <c r="M1533" s="229"/>
      <c r="N1533" s="232"/>
    </row>
    <row r="1534" hidden="1" spans="1:14">
      <c r="A1534" s="235"/>
      <c r="B1534" s="230" t="s">
        <v>1027</v>
      </c>
      <c r="C1534" s="229">
        <v>2</v>
      </c>
      <c r="D1534" s="229">
        <v>2</v>
      </c>
      <c r="E1534" s="229">
        <v>2</v>
      </c>
      <c r="F1534" s="229"/>
      <c r="G1534" s="229"/>
      <c r="H1534" s="229"/>
      <c r="I1534" s="229"/>
      <c r="J1534" s="229"/>
      <c r="K1534" s="229"/>
      <c r="L1534" s="229"/>
      <c r="M1534" s="229"/>
      <c r="N1534" s="232"/>
    </row>
    <row r="1535" hidden="1" spans="1:14">
      <c r="A1535" s="235"/>
      <c r="B1535" s="230" t="s">
        <v>1036</v>
      </c>
      <c r="C1535" s="229">
        <v>244.536224</v>
      </c>
      <c r="D1535" s="229">
        <v>224.536224</v>
      </c>
      <c r="E1535" s="229">
        <v>224.536224</v>
      </c>
      <c r="F1535" s="229"/>
      <c r="G1535" s="229">
        <v>20</v>
      </c>
      <c r="H1535" s="229"/>
      <c r="I1535" s="229"/>
      <c r="J1535" s="229"/>
      <c r="K1535" s="229"/>
      <c r="L1535" s="229"/>
      <c r="M1535" s="229"/>
      <c r="N1535" s="232"/>
    </row>
    <row r="1536" spans="1:14">
      <c r="A1536" s="227" t="s">
        <v>1119</v>
      </c>
      <c r="B1536" s="231" t="s">
        <v>767</v>
      </c>
      <c r="C1536" s="229">
        <v>3197.361872</v>
      </c>
      <c r="D1536" s="229">
        <v>2782.141872</v>
      </c>
      <c r="E1536" s="229">
        <v>2782.141872</v>
      </c>
      <c r="F1536" s="229"/>
      <c r="G1536" s="229">
        <v>415.22</v>
      </c>
      <c r="H1536" s="229"/>
      <c r="I1536" s="229"/>
      <c r="J1536" s="229"/>
      <c r="K1536" s="229"/>
      <c r="L1536" s="229"/>
      <c r="M1536" s="229"/>
      <c r="N1536" s="233" t="s">
        <v>578</v>
      </c>
    </row>
    <row r="1537" hidden="1" spans="1:14">
      <c r="A1537" s="235"/>
      <c r="B1537" s="230" t="s">
        <v>1033</v>
      </c>
      <c r="C1537" s="229">
        <v>353.761813</v>
      </c>
      <c r="D1537" s="229">
        <v>353.761813</v>
      </c>
      <c r="E1537" s="229">
        <v>353.761813</v>
      </c>
      <c r="F1537" s="229"/>
      <c r="G1537" s="229"/>
      <c r="H1537" s="229"/>
      <c r="I1537" s="229"/>
      <c r="J1537" s="229"/>
      <c r="K1537" s="229"/>
      <c r="L1537" s="229"/>
      <c r="M1537" s="229"/>
      <c r="N1537" s="232"/>
    </row>
    <row r="1538" hidden="1" spans="1:14">
      <c r="A1538" s="235"/>
      <c r="B1538" s="230" t="s">
        <v>1032</v>
      </c>
      <c r="C1538" s="229">
        <v>2350.021836</v>
      </c>
      <c r="D1538" s="229">
        <v>1944.797236</v>
      </c>
      <c r="E1538" s="229">
        <v>1944.797236</v>
      </c>
      <c r="F1538" s="229"/>
      <c r="G1538" s="229">
        <v>405.2246</v>
      </c>
      <c r="H1538" s="229"/>
      <c r="I1538" s="229"/>
      <c r="J1538" s="229"/>
      <c r="K1538" s="229"/>
      <c r="L1538" s="229"/>
      <c r="M1538" s="229"/>
      <c r="N1538" s="232"/>
    </row>
    <row r="1539" hidden="1" spans="1:14">
      <c r="A1539" s="235"/>
      <c r="B1539" s="230" t="s">
        <v>1027</v>
      </c>
      <c r="C1539" s="229">
        <v>2</v>
      </c>
      <c r="D1539" s="229">
        <v>2</v>
      </c>
      <c r="E1539" s="229">
        <v>2</v>
      </c>
      <c r="F1539" s="229"/>
      <c r="G1539" s="229"/>
      <c r="H1539" s="229"/>
      <c r="I1539" s="229"/>
      <c r="J1539" s="229"/>
      <c r="K1539" s="229"/>
      <c r="L1539" s="229"/>
      <c r="M1539" s="229"/>
      <c r="N1539" s="232"/>
    </row>
    <row r="1540" hidden="1" spans="1:14">
      <c r="A1540" s="235"/>
      <c r="B1540" s="230" t="s">
        <v>1028</v>
      </c>
      <c r="C1540" s="229">
        <v>54</v>
      </c>
      <c r="D1540" s="229">
        <v>54</v>
      </c>
      <c r="E1540" s="229">
        <v>54</v>
      </c>
      <c r="F1540" s="229"/>
      <c r="G1540" s="229"/>
      <c r="H1540" s="229"/>
      <c r="I1540" s="229"/>
      <c r="J1540" s="229"/>
      <c r="K1540" s="229"/>
      <c r="L1540" s="229"/>
      <c r="M1540" s="229"/>
      <c r="N1540" s="232"/>
    </row>
    <row r="1541" hidden="1" spans="1:14">
      <c r="A1541" s="235"/>
      <c r="B1541" s="230" t="s">
        <v>1029</v>
      </c>
      <c r="C1541" s="229">
        <v>239.16</v>
      </c>
      <c r="D1541" s="229">
        <v>239.16</v>
      </c>
      <c r="E1541" s="229">
        <v>239.16</v>
      </c>
      <c r="F1541" s="229"/>
      <c r="G1541" s="229"/>
      <c r="H1541" s="229"/>
      <c r="I1541" s="229"/>
      <c r="J1541" s="229"/>
      <c r="K1541" s="229"/>
      <c r="L1541" s="229"/>
      <c r="M1541" s="229"/>
      <c r="N1541" s="232"/>
    </row>
    <row r="1542" hidden="1" spans="1:14">
      <c r="A1542" s="235"/>
      <c r="B1542" s="230" t="s">
        <v>1036</v>
      </c>
      <c r="C1542" s="229">
        <v>142.076077</v>
      </c>
      <c r="D1542" s="229">
        <v>142.076077</v>
      </c>
      <c r="E1542" s="229">
        <v>142.076077</v>
      </c>
      <c r="F1542" s="229"/>
      <c r="G1542" s="229"/>
      <c r="H1542" s="229"/>
      <c r="I1542" s="229"/>
      <c r="J1542" s="229"/>
      <c r="K1542" s="229"/>
      <c r="L1542" s="229"/>
      <c r="M1542" s="229"/>
      <c r="N1542" s="232"/>
    </row>
    <row r="1543" hidden="1" spans="1:14">
      <c r="A1543" s="235"/>
      <c r="B1543" s="230" t="s">
        <v>1038</v>
      </c>
      <c r="C1543" s="229">
        <v>0.66</v>
      </c>
      <c r="D1543" s="229">
        <v>0.66</v>
      </c>
      <c r="E1543" s="229">
        <v>0.66</v>
      </c>
      <c r="F1543" s="229"/>
      <c r="G1543" s="229"/>
      <c r="H1543" s="229"/>
      <c r="I1543" s="229"/>
      <c r="J1543" s="229"/>
      <c r="K1543" s="229"/>
      <c r="L1543" s="229"/>
      <c r="M1543" s="229"/>
      <c r="N1543" s="232"/>
    </row>
    <row r="1544" hidden="1" spans="1:14">
      <c r="A1544" s="235"/>
      <c r="B1544" s="230" t="s">
        <v>1039</v>
      </c>
      <c r="C1544" s="229">
        <v>23.679346</v>
      </c>
      <c r="D1544" s="229">
        <v>23.679346</v>
      </c>
      <c r="E1544" s="229">
        <v>23.679346</v>
      </c>
      <c r="F1544" s="229"/>
      <c r="G1544" s="229"/>
      <c r="H1544" s="229"/>
      <c r="I1544" s="229"/>
      <c r="J1544" s="229"/>
      <c r="K1544" s="229"/>
      <c r="L1544" s="229"/>
      <c r="M1544" s="229"/>
      <c r="N1544" s="232"/>
    </row>
    <row r="1545" hidden="1" spans="1:14">
      <c r="A1545" s="235"/>
      <c r="B1545" s="230" t="s">
        <v>1035</v>
      </c>
      <c r="C1545" s="229">
        <v>4.5</v>
      </c>
      <c r="D1545" s="229">
        <v>4.5</v>
      </c>
      <c r="E1545" s="229">
        <v>4.5</v>
      </c>
      <c r="F1545" s="229"/>
      <c r="G1545" s="229"/>
      <c r="H1545" s="229"/>
      <c r="I1545" s="229"/>
      <c r="J1545" s="229"/>
      <c r="K1545" s="229"/>
      <c r="L1545" s="229"/>
      <c r="M1545" s="229"/>
      <c r="N1545" s="232"/>
    </row>
    <row r="1546" hidden="1" spans="1:14">
      <c r="A1546" s="235"/>
      <c r="B1546" s="230" t="s">
        <v>1037</v>
      </c>
      <c r="C1546" s="229">
        <v>1.35</v>
      </c>
      <c r="D1546" s="229">
        <v>1.35</v>
      </c>
      <c r="E1546" s="229">
        <v>1.35</v>
      </c>
      <c r="F1546" s="229"/>
      <c r="G1546" s="229"/>
      <c r="H1546" s="229"/>
      <c r="I1546" s="229"/>
      <c r="J1546" s="229"/>
      <c r="K1546" s="229"/>
      <c r="L1546" s="229"/>
      <c r="M1546" s="229"/>
      <c r="N1546" s="232"/>
    </row>
    <row r="1547" hidden="1" spans="1:14">
      <c r="A1547" s="235"/>
      <c r="B1547" s="230" t="s">
        <v>1106</v>
      </c>
      <c r="C1547" s="229">
        <v>19.9908</v>
      </c>
      <c r="D1547" s="229">
        <v>9.9954</v>
      </c>
      <c r="E1547" s="229">
        <v>9.9954</v>
      </c>
      <c r="F1547" s="229"/>
      <c r="G1547" s="229">
        <v>9.9954</v>
      </c>
      <c r="H1547" s="229"/>
      <c r="I1547" s="229"/>
      <c r="J1547" s="229"/>
      <c r="K1547" s="229"/>
      <c r="L1547" s="229"/>
      <c r="M1547" s="229"/>
      <c r="N1547" s="232"/>
    </row>
    <row r="1548" hidden="1" spans="1:14">
      <c r="A1548" s="235"/>
      <c r="B1548" s="230" t="s">
        <v>1034</v>
      </c>
      <c r="C1548" s="229">
        <v>6.162</v>
      </c>
      <c r="D1548" s="229">
        <v>6.162</v>
      </c>
      <c r="E1548" s="229">
        <v>6.162</v>
      </c>
      <c r="F1548" s="229"/>
      <c r="G1548" s="229"/>
      <c r="H1548" s="229"/>
      <c r="I1548" s="229"/>
      <c r="J1548" s="229"/>
      <c r="K1548" s="229"/>
      <c r="L1548" s="229"/>
      <c r="M1548" s="229"/>
      <c r="N1548" s="232"/>
    </row>
    <row r="1549" spans="1:14">
      <c r="A1549" s="227" t="s">
        <v>1120</v>
      </c>
      <c r="B1549" s="231" t="s">
        <v>768</v>
      </c>
      <c r="C1549" s="229">
        <v>343.649753</v>
      </c>
      <c r="D1549" s="229">
        <v>343.649753</v>
      </c>
      <c r="E1549" s="229">
        <v>336.004753</v>
      </c>
      <c r="F1549" s="229">
        <v>7.645</v>
      </c>
      <c r="G1549" s="229"/>
      <c r="H1549" s="229"/>
      <c r="I1549" s="229"/>
      <c r="J1549" s="229"/>
      <c r="K1549" s="229"/>
      <c r="L1549" s="229"/>
      <c r="M1549" s="229"/>
      <c r="N1549" s="233" t="s">
        <v>578</v>
      </c>
    </row>
    <row r="1550" hidden="1" spans="1:14">
      <c r="A1550" s="235"/>
      <c r="B1550" s="230" t="s">
        <v>1039</v>
      </c>
      <c r="C1550" s="229">
        <v>2.525244</v>
      </c>
      <c r="D1550" s="229">
        <v>2.525244</v>
      </c>
      <c r="E1550" s="229">
        <v>2.525244</v>
      </c>
      <c r="F1550" s="229"/>
      <c r="G1550" s="229"/>
      <c r="H1550" s="229"/>
      <c r="I1550" s="229"/>
      <c r="J1550" s="229"/>
      <c r="K1550" s="229"/>
      <c r="L1550" s="229"/>
      <c r="M1550" s="229"/>
      <c r="N1550" s="232"/>
    </row>
    <row r="1551" hidden="1" spans="1:14">
      <c r="A1551" s="235"/>
      <c r="B1551" s="230" t="s">
        <v>1029</v>
      </c>
      <c r="C1551" s="229">
        <v>18.9</v>
      </c>
      <c r="D1551" s="229">
        <v>18.9</v>
      </c>
      <c r="E1551" s="229">
        <v>18.9</v>
      </c>
      <c r="F1551" s="229"/>
      <c r="G1551" s="229"/>
      <c r="H1551" s="229"/>
      <c r="I1551" s="229"/>
      <c r="J1551" s="229"/>
      <c r="K1551" s="229"/>
      <c r="L1551" s="229"/>
      <c r="M1551" s="229"/>
      <c r="N1551" s="232"/>
    </row>
    <row r="1552" hidden="1" spans="1:14">
      <c r="A1552" s="235"/>
      <c r="B1552" s="230" t="s">
        <v>1033</v>
      </c>
      <c r="C1552" s="229">
        <v>44.389106</v>
      </c>
      <c r="D1552" s="229">
        <v>44.389106</v>
      </c>
      <c r="E1552" s="229">
        <v>44.389106</v>
      </c>
      <c r="F1552" s="229"/>
      <c r="G1552" s="229"/>
      <c r="H1552" s="229"/>
      <c r="I1552" s="229"/>
      <c r="J1552" s="229"/>
      <c r="K1552" s="229"/>
      <c r="L1552" s="229"/>
      <c r="M1552" s="229"/>
      <c r="N1552" s="232"/>
    </row>
    <row r="1553" hidden="1" spans="1:14">
      <c r="A1553" s="235"/>
      <c r="B1553" s="230" t="s">
        <v>1034</v>
      </c>
      <c r="C1553" s="229">
        <v>4.056</v>
      </c>
      <c r="D1553" s="229">
        <v>4.056</v>
      </c>
      <c r="E1553" s="229">
        <v>4.056</v>
      </c>
      <c r="F1553" s="229"/>
      <c r="G1553" s="229"/>
      <c r="H1553" s="229"/>
      <c r="I1553" s="229"/>
      <c r="J1553" s="229"/>
      <c r="K1553" s="229"/>
      <c r="L1553" s="229"/>
      <c r="M1553" s="229"/>
      <c r="N1553" s="232"/>
    </row>
    <row r="1554" hidden="1" spans="1:14">
      <c r="A1554" s="235"/>
      <c r="B1554" s="230" t="s">
        <v>1038</v>
      </c>
      <c r="C1554" s="229">
        <v>0.27</v>
      </c>
      <c r="D1554" s="229">
        <v>0.27</v>
      </c>
      <c r="E1554" s="229">
        <v>0.27</v>
      </c>
      <c r="F1554" s="229"/>
      <c r="G1554" s="229"/>
      <c r="H1554" s="229"/>
      <c r="I1554" s="229"/>
      <c r="J1554" s="229"/>
      <c r="K1554" s="229"/>
      <c r="L1554" s="229"/>
      <c r="M1554" s="229"/>
      <c r="N1554" s="232"/>
    </row>
    <row r="1555" hidden="1" spans="1:14">
      <c r="A1555" s="235"/>
      <c r="B1555" s="230" t="s">
        <v>1036</v>
      </c>
      <c r="C1555" s="229">
        <v>24.541415</v>
      </c>
      <c r="D1555" s="229">
        <v>24.541415</v>
      </c>
      <c r="E1555" s="229">
        <v>24.541415</v>
      </c>
      <c r="F1555" s="229"/>
      <c r="G1555" s="229"/>
      <c r="H1555" s="229"/>
      <c r="I1555" s="229"/>
      <c r="J1555" s="229"/>
      <c r="K1555" s="229"/>
      <c r="L1555" s="229"/>
      <c r="M1555" s="229"/>
      <c r="N1555" s="232"/>
    </row>
    <row r="1556" hidden="1" spans="1:14">
      <c r="A1556" s="235"/>
      <c r="B1556" s="230" t="s">
        <v>1027</v>
      </c>
      <c r="C1556" s="229">
        <v>2</v>
      </c>
      <c r="D1556" s="229">
        <v>2</v>
      </c>
      <c r="E1556" s="229">
        <v>2</v>
      </c>
      <c r="F1556" s="229"/>
      <c r="G1556" s="229"/>
      <c r="H1556" s="229"/>
      <c r="I1556" s="229"/>
      <c r="J1556" s="229"/>
      <c r="K1556" s="229"/>
      <c r="L1556" s="229"/>
      <c r="M1556" s="229"/>
      <c r="N1556" s="232"/>
    </row>
    <row r="1557" hidden="1" spans="1:14">
      <c r="A1557" s="235"/>
      <c r="B1557" s="230" t="s">
        <v>1032</v>
      </c>
      <c r="C1557" s="229">
        <v>217.707988</v>
      </c>
      <c r="D1557" s="229">
        <v>217.707988</v>
      </c>
      <c r="E1557" s="229">
        <v>210.062988</v>
      </c>
      <c r="F1557" s="229">
        <v>7.645</v>
      </c>
      <c r="G1557" s="229"/>
      <c r="H1557" s="229"/>
      <c r="I1557" s="229"/>
      <c r="J1557" s="229"/>
      <c r="K1557" s="229"/>
      <c r="L1557" s="229"/>
      <c r="M1557" s="229"/>
      <c r="N1557" s="232"/>
    </row>
    <row r="1558" hidden="1" spans="1:14">
      <c r="A1558" s="235"/>
      <c r="B1558" s="230" t="s">
        <v>1035</v>
      </c>
      <c r="C1558" s="229">
        <v>2.2</v>
      </c>
      <c r="D1558" s="229">
        <v>2.2</v>
      </c>
      <c r="E1558" s="229">
        <v>2.2</v>
      </c>
      <c r="F1558" s="229"/>
      <c r="G1558" s="229"/>
      <c r="H1558" s="229"/>
      <c r="I1558" s="229"/>
      <c r="J1558" s="229"/>
      <c r="K1558" s="229"/>
      <c r="L1558" s="229"/>
      <c r="M1558" s="229"/>
      <c r="N1558" s="232"/>
    </row>
    <row r="1559" hidden="1" spans="1:14">
      <c r="A1559" s="235"/>
      <c r="B1559" s="230" t="s">
        <v>1028</v>
      </c>
      <c r="C1559" s="229">
        <v>26.4</v>
      </c>
      <c r="D1559" s="229">
        <v>26.4</v>
      </c>
      <c r="E1559" s="229">
        <v>26.4</v>
      </c>
      <c r="F1559" s="229"/>
      <c r="G1559" s="229"/>
      <c r="H1559" s="229"/>
      <c r="I1559" s="229"/>
      <c r="J1559" s="229"/>
      <c r="K1559" s="229"/>
      <c r="L1559" s="229"/>
      <c r="M1559" s="229"/>
      <c r="N1559" s="232"/>
    </row>
    <row r="1560" hidden="1" spans="1:14">
      <c r="A1560" s="235"/>
      <c r="B1560" s="230" t="s">
        <v>1037</v>
      </c>
      <c r="C1560" s="229">
        <v>0.66</v>
      </c>
      <c r="D1560" s="229">
        <v>0.66</v>
      </c>
      <c r="E1560" s="229">
        <v>0.66</v>
      </c>
      <c r="F1560" s="229"/>
      <c r="G1560" s="229"/>
      <c r="H1560" s="229"/>
      <c r="I1560" s="229"/>
      <c r="J1560" s="229"/>
      <c r="K1560" s="229"/>
      <c r="L1560" s="229"/>
      <c r="M1560" s="229"/>
      <c r="N1560" s="232"/>
    </row>
    <row r="1561" spans="1:14">
      <c r="A1561" s="227" t="s">
        <v>1121</v>
      </c>
      <c r="B1561" s="231" t="s">
        <v>769</v>
      </c>
      <c r="C1561" s="229">
        <v>974.610307</v>
      </c>
      <c r="D1561" s="229">
        <v>974.610307</v>
      </c>
      <c r="E1561" s="229">
        <v>974.610307</v>
      </c>
      <c r="F1561" s="229"/>
      <c r="G1561" s="229"/>
      <c r="H1561" s="229"/>
      <c r="I1561" s="229"/>
      <c r="J1561" s="229"/>
      <c r="K1561" s="229"/>
      <c r="L1561" s="229"/>
      <c r="M1561" s="229"/>
      <c r="N1561" s="233" t="s">
        <v>578</v>
      </c>
    </row>
    <row r="1562" hidden="1" spans="1:14">
      <c r="A1562" s="235"/>
      <c r="B1562" s="230" t="s">
        <v>1036</v>
      </c>
      <c r="C1562" s="229">
        <v>78.19897</v>
      </c>
      <c r="D1562" s="229">
        <v>78.19897</v>
      </c>
      <c r="E1562" s="229">
        <v>78.19897</v>
      </c>
      <c r="F1562" s="229"/>
      <c r="G1562" s="229"/>
      <c r="H1562" s="229"/>
      <c r="I1562" s="229"/>
      <c r="J1562" s="229"/>
      <c r="K1562" s="229"/>
      <c r="L1562" s="229"/>
      <c r="M1562" s="229"/>
      <c r="N1562" s="232"/>
    </row>
    <row r="1563" hidden="1" spans="1:14">
      <c r="A1563" s="235"/>
      <c r="B1563" s="230" t="s">
        <v>1037</v>
      </c>
      <c r="C1563" s="229">
        <v>1.29</v>
      </c>
      <c r="D1563" s="229">
        <v>1.29</v>
      </c>
      <c r="E1563" s="229">
        <v>1.29</v>
      </c>
      <c r="F1563" s="229"/>
      <c r="G1563" s="229"/>
      <c r="H1563" s="229"/>
      <c r="I1563" s="229"/>
      <c r="J1563" s="229"/>
      <c r="K1563" s="229"/>
      <c r="L1563" s="229"/>
      <c r="M1563" s="229"/>
      <c r="N1563" s="232"/>
    </row>
    <row r="1564" hidden="1" spans="1:14">
      <c r="A1564" s="235"/>
      <c r="B1564" s="230" t="s">
        <v>1035</v>
      </c>
      <c r="C1564" s="229">
        <v>4.3</v>
      </c>
      <c r="D1564" s="229">
        <v>4.3</v>
      </c>
      <c r="E1564" s="229">
        <v>4.3</v>
      </c>
      <c r="F1564" s="229"/>
      <c r="G1564" s="229"/>
      <c r="H1564" s="229"/>
      <c r="I1564" s="229"/>
      <c r="J1564" s="229"/>
      <c r="K1564" s="229"/>
      <c r="L1564" s="229"/>
      <c r="M1564" s="229"/>
      <c r="N1564" s="232"/>
    </row>
    <row r="1565" hidden="1" spans="1:14">
      <c r="A1565" s="235"/>
      <c r="B1565" s="230" t="s">
        <v>1028</v>
      </c>
      <c r="C1565" s="229">
        <v>51.6</v>
      </c>
      <c r="D1565" s="229">
        <v>51.6</v>
      </c>
      <c r="E1565" s="229">
        <v>51.6</v>
      </c>
      <c r="F1565" s="229"/>
      <c r="G1565" s="229"/>
      <c r="H1565" s="229"/>
      <c r="I1565" s="229"/>
      <c r="J1565" s="229"/>
      <c r="K1565" s="229"/>
      <c r="L1565" s="229"/>
      <c r="M1565" s="229"/>
      <c r="N1565" s="232"/>
    </row>
    <row r="1566" hidden="1" spans="1:14">
      <c r="A1566" s="235"/>
      <c r="B1566" s="230" t="s">
        <v>1033</v>
      </c>
      <c r="C1566" s="229">
        <v>147.977595</v>
      </c>
      <c r="D1566" s="229">
        <v>147.977595</v>
      </c>
      <c r="E1566" s="229">
        <v>147.977595</v>
      </c>
      <c r="F1566" s="229"/>
      <c r="G1566" s="229"/>
      <c r="H1566" s="229"/>
      <c r="I1566" s="229"/>
      <c r="J1566" s="229"/>
      <c r="K1566" s="229"/>
      <c r="L1566" s="229"/>
      <c r="M1566" s="229"/>
      <c r="N1566" s="232"/>
    </row>
    <row r="1567" hidden="1" spans="1:14">
      <c r="A1567" s="235"/>
      <c r="B1567" s="230" t="s">
        <v>1029</v>
      </c>
      <c r="C1567" s="229">
        <v>24.328</v>
      </c>
      <c r="D1567" s="229">
        <v>24.328</v>
      </c>
      <c r="E1567" s="229">
        <v>24.328</v>
      </c>
      <c r="F1567" s="229"/>
      <c r="G1567" s="229"/>
      <c r="H1567" s="229"/>
      <c r="I1567" s="229"/>
      <c r="J1567" s="229"/>
      <c r="K1567" s="229"/>
      <c r="L1567" s="229"/>
      <c r="M1567" s="229"/>
      <c r="N1567" s="232"/>
    </row>
    <row r="1568" hidden="1" spans="1:14">
      <c r="A1568" s="235"/>
      <c r="B1568" s="230" t="s">
        <v>1032</v>
      </c>
      <c r="C1568" s="229">
        <v>657.95568</v>
      </c>
      <c r="D1568" s="229">
        <v>657.95568</v>
      </c>
      <c r="E1568" s="229">
        <v>657.95568</v>
      </c>
      <c r="F1568" s="229"/>
      <c r="G1568" s="229"/>
      <c r="H1568" s="229"/>
      <c r="I1568" s="229"/>
      <c r="J1568" s="229"/>
      <c r="K1568" s="229"/>
      <c r="L1568" s="229"/>
      <c r="M1568" s="229"/>
      <c r="N1568" s="232"/>
    </row>
    <row r="1569" hidden="1" spans="1:14">
      <c r="A1569" s="235"/>
      <c r="B1569" s="230" t="s">
        <v>1039</v>
      </c>
      <c r="C1569" s="229">
        <v>8.660062</v>
      </c>
      <c r="D1569" s="229">
        <v>8.660062</v>
      </c>
      <c r="E1569" s="229">
        <v>8.660062</v>
      </c>
      <c r="F1569" s="229"/>
      <c r="G1569" s="229"/>
      <c r="H1569" s="229"/>
      <c r="I1569" s="229"/>
      <c r="J1569" s="229"/>
      <c r="K1569" s="229"/>
      <c r="L1569" s="229"/>
      <c r="M1569" s="229"/>
      <c r="N1569" s="232"/>
    </row>
    <row r="1570" hidden="1" spans="1:14">
      <c r="A1570" s="235"/>
      <c r="B1570" s="230" t="s">
        <v>1038</v>
      </c>
      <c r="C1570" s="229">
        <v>0.3</v>
      </c>
      <c r="D1570" s="229">
        <v>0.3</v>
      </c>
      <c r="E1570" s="229">
        <v>0.3</v>
      </c>
      <c r="F1570" s="229"/>
      <c r="G1570" s="229"/>
      <c r="H1570" s="229"/>
      <c r="I1570" s="229"/>
      <c r="J1570" s="229"/>
      <c r="K1570" s="229"/>
      <c r="L1570" s="229"/>
      <c r="M1570" s="229"/>
      <c r="N1570" s="232"/>
    </row>
    <row r="1571" spans="1:14">
      <c r="A1571" s="227" t="s">
        <v>1122</v>
      </c>
      <c r="B1571" s="231" t="s">
        <v>770</v>
      </c>
      <c r="C1571" s="229">
        <v>348.998949</v>
      </c>
      <c r="D1571" s="229">
        <v>348.998949</v>
      </c>
      <c r="E1571" s="229">
        <v>348.998949</v>
      </c>
      <c r="F1571" s="229"/>
      <c r="G1571" s="229"/>
      <c r="H1571" s="229"/>
      <c r="I1571" s="229"/>
      <c r="J1571" s="229"/>
      <c r="K1571" s="229"/>
      <c r="L1571" s="229"/>
      <c r="M1571" s="229"/>
      <c r="N1571" s="233" t="s">
        <v>578</v>
      </c>
    </row>
    <row r="1572" hidden="1" spans="1:14">
      <c r="A1572" s="235"/>
      <c r="B1572" s="230" t="s">
        <v>1036</v>
      </c>
      <c r="C1572" s="229">
        <v>28.072303</v>
      </c>
      <c r="D1572" s="229">
        <v>28.072303</v>
      </c>
      <c r="E1572" s="229">
        <v>28.072303</v>
      </c>
      <c r="F1572" s="229"/>
      <c r="G1572" s="229"/>
      <c r="H1572" s="229"/>
      <c r="I1572" s="229"/>
      <c r="J1572" s="229"/>
      <c r="K1572" s="229"/>
      <c r="L1572" s="229"/>
      <c r="M1572" s="229"/>
      <c r="N1572" s="232"/>
    </row>
    <row r="1573" hidden="1" spans="1:14">
      <c r="A1573" s="235"/>
      <c r="B1573" s="230" t="s">
        <v>1032</v>
      </c>
      <c r="C1573" s="229">
        <v>239.48706</v>
      </c>
      <c r="D1573" s="229">
        <v>239.48706</v>
      </c>
      <c r="E1573" s="229">
        <v>239.48706</v>
      </c>
      <c r="F1573" s="229"/>
      <c r="G1573" s="229"/>
      <c r="H1573" s="229"/>
      <c r="I1573" s="229"/>
      <c r="J1573" s="229"/>
      <c r="K1573" s="229"/>
      <c r="L1573" s="229"/>
      <c r="M1573" s="229"/>
      <c r="N1573" s="232"/>
    </row>
    <row r="1574" hidden="1" spans="1:14">
      <c r="A1574" s="235"/>
      <c r="B1574" s="230" t="s">
        <v>1029</v>
      </c>
      <c r="C1574" s="229">
        <v>7.8</v>
      </c>
      <c r="D1574" s="229">
        <v>7.8</v>
      </c>
      <c r="E1574" s="229">
        <v>7.8</v>
      </c>
      <c r="F1574" s="229"/>
      <c r="G1574" s="229"/>
      <c r="H1574" s="229"/>
      <c r="I1574" s="229"/>
      <c r="J1574" s="229"/>
      <c r="K1574" s="229"/>
      <c r="L1574" s="229"/>
      <c r="M1574" s="229"/>
      <c r="N1574" s="232"/>
    </row>
    <row r="1575" hidden="1" spans="1:14">
      <c r="A1575" s="235"/>
      <c r="B1575" s="230" t="s">
        <v>1038</v>
      </c>
      <c r="C1575" s="229">
        <v>0.09</v>
      </c>
      <c r="D1575" s="229">
        <v>0.09</v>
      </c>
      <c r="E1575" s="229">
        <v>0.09</v>
      </c>
      <c r="F1575" s="229"/>
      <c r="G1575" s="229"/>
      <c r="H1575" s="229"/>
      <c r="I1575" s="229"/>
      <c r="J1575" s="229"/>
      <c r="K1575" s="229"/>
      <c r="L1575" s="229"/>
      <c r="M1575" s="229"/>
      <c r="N1575" s="232"/>
    </row>
    <row r="1576" hidden="1" spans="1:14">
      <c r="A1576" s="235"/>
      <c r="B1576" s="230" t="s">
        <v>1039</v>
      </c>
      <c r="C1576" s="229">
        <v>2.936401</v>
      </c>
      <c r="D1576" s="229">
        <v>2.936401</v>
      </c>
      <c r="E1576" s="229">
        <v>2.936401</v>
      </c>
      <c r="F1576" s="229"/>
      <c r="G1576" s="229"/>
      <c r="H1576" s="229"/>
      <c r="I1576" s="229"/>
      <c r="J1576" s="229"/>
      <c r="K1576" s="229"/>
      <c r="L1576" s="229"/>
      <c r="M1576" s="229"/>
      <c r="N1576" s="232"/>
    </row>
    <row r="1577" hidden="1" spans="1:14">
      <c r="A1577" s="235"/>
      <c r="B1577" s="230" t="s">
        <v>1037</v>
      </c>
      <c r="C1577" s="229">
        <v>0.48</v>
      </c>
      <c r="D1577" s="229">
        <v>0.48</v>
      </c>
      <c r="E1577" s="229">
        <v>0.48</v>
      </c>
      <c r="F1577" s="229"/>
      <c r="G1577" s="229"/>
      <c r="H1577" s="229"/>
      <c r="I1577" s="229"/>
      <c r="J1577" s="229"/>
      <c r="K1577" s="229"/>
      <c r="L1577" s="229"/>
      <c r="M1577" s="229"/>
      <c r="N1577" s="232"/>
    </row>
    <row r="1578" hidden="1" spans="1:14">
      <c r="A1578" s="235"/>
      <c r="B1578" s="230" t="s">
        <v>1028</v>
      </c>
      <c r="C1578" s="229">
        <v>19.2</v>
      </c>
      <c r="D1578" s="229">
        <v>19.2</v>
      </c>
      <c r="E1578" s="229">
        <v>19.2</v>
      </c>
      <c r="F1578" s="229"/>
      <c r="G1578" s="229"/>
      <c r="H1578" s="229"/>
      <c r="I1578" s="229"/>
      <c r="J1578" s="229"/>
      <c r="K1578" s="229"/>
      <c r="L1578" s="229"/>
      <c r="M1578" s="229"/>
      <c r="N1578" s="232"/>
    </row>
    <row r="1579" hidden="1" spans="1:14">
      <c r="A1579" s="235"/>
      <c r="B1579" s="230" t="s">
        <v>1033</v>
      </c>
      <c r="C1579" s="229">
        <v>49.333185</v>
      </c>
      <c r="D1579" s="229">
        <v>49.333185</v>
      </c>
      <c r="E1579" s="229">
        <v>49.333185</v>
      </c>
      <c r="F1579" s="229"/>
      <c r="G1579" s="229"/>
      <c r="H1579" s="229"/>
      <c r="I1579" s="229"/>
      <c r="J1579" s="229"/>
      <c r="K1579" s="229"/>
      <c r="L1579" s="229"/>
      <c r="M1579" s="229"/>
      <c r="N1579" s="232"/>
    </row>
    <row r="1580" hidden="1" spans="1:14">
      <c r="A1580" s="235"/>
      <c r="B1580" s="230" t="s">
        <v>1035</v>
      </c>
      <c r="C1580" s="229">
        <v>1.6</v>
      </c>
      <c r="D1580" s="229">
        <v>1.6</v>
      </c>
      <c r="E1580" s="229">
        <v>1.6</v>
      </c>
      <c r="F1580" s="229"/>
      <c r="G1580" s="229"/>
      <c r="H1580" s="229"/>
      <c r="I1580" s="229"/>
      <c r="J1580" s="229"/>
      <c r="K1580" s="229"/>
      <c r="L1580" s="229"/>
      <c r="M1580" s="229"/>
      <c r="N1580" s="232"/>
    </row>
    <row r="1581" spans="1:14">
      <c r="A1581" s="227" t="s">
        <v>1123</v>
      </c>
      <c r="B1581" s="231" t="s">
        <v>771</v>
      </c>
      <c r="C1581" s="229">
        <v>3154.725281</v>
      </c>
      <c r="D1581" s="229">
        <v>3154.725281</v>
      </c>
      <c r="E1581" s="229">
        <v>3086.175281</v>
      </c>
      <c r="F1581" s="229">
        <v>68.55</v>
      </c>
      <c r="G1581" s="229"/>
      <c r="H1581" s="229"/>
      <c r="I1581" s="229"/>
      <c r="J1581" s="229"/>
      <c r="K1581" s="229"/>
      <c r="L1581" s="229"/>
      <c r="M1581" s="229"/>
      <c r="N1581" s="233" t="s">
        <v>578</v>
      </c>
    </row>
    <row r="1582" hidden="1" spans="1:14">
      <c r="A1582" s="235"/>
      <c r="B1582" s="230" t="s">
        <v>1038</v>
      </c>
      <c r="C1582" s="229">
        <v>0.42</v>
      </c>
      <c r="D1582" s="229">
        <v>0.42</v>
      </c>
      <c r="E1582" s="229">
        <v>0.42</v>
      </c>
      <c r="F1582" s="229"/>
      <c r="G1582" s="229"/>
      <c r="H1582" s="229"/>
      <c r="I1582" s="229"/>
      <c r="J1582" s="229"/>
      <c r="K1582" s="229"/>
      <c r="L1582" s="229"/>
      <c r="M1582" s="229"/>
      <c r="N1582" s="232"/>
    </row>
    <row r="1583" hidden="1" spans="1:14">
      <c r="A1583" s="235"/>
      <c r="B1583" s="230" t="s">
        <v>1039</v>
      </c>
      <c r="C1583" s="229">
        <v>24.903842</v>
      </c>
      <c r="D1583" s="229">
        <v>24.903842</v>
      </c>
      <c r="E1583" s="229">
        <v>24.903842</v>
      </c>
      <c r="F1583" s="229"/>
      <c r="G1583" s="229"/>
      <c r="H1583" s="229"/>
      <c r="I1583" s="229"/>
      <c r="J1583" s="229"/>
      <c r="K1583" s="229"/>
      <c r="L1583" s="229"/>
      <c r="M1583" s="229"/>
      <c r="N1583" s="232"/>
    </row>
    <row r="1584" hidden="1" spans="1:14">
      <c r="A1584" s="235"/>
      <c r="B1584" s="230" t="s">
        <v>1034</v>
      </c>
      <c r="C1584" s="229">
        <v>20.28</v>
      </c>
      <c r="D1584" s="229">
        <v>20.28</v>
      </c>
      <c r="E1584" s="229">
        <v>20.28</v>
      </c>
      <c r="F1584" s="229"/>
      <c r="G1584" s="229"/>
      <c r="H1584" s="229"/>
      <c r="I1584" s="229"/>
      <c r="J1584" s="229"/>
      <c r="K1584" s="229"/>
      <c r="L1584" s="229"/>
      <c r="M1584" s="229"/>
      <c r="N1584" s="232"/>
    </row>
    <row r="1585" hidden="1" spans="1:14">
      <c r="A1585" s="235"/>
      <c r="B1585" s="230" t="s">
        <v>1035</v>
      </c>
      <c r="C1585" s="229">
        <v>12.5</v>
      </c>
      <c r="D1585" s="229">
        <v>12.5</v>
      </c>
      <c r="E1585" s="229">
        <v>12.5</v>
      </c>
      <c r="F1585" s="229"/>
      <c r="G1585" s="229"/>
      <c r="H1585" s="229"/>
      <c r="I1585" s="229"/>
      <c r="J1585" s="229"/>
      <c r="K1585" s="229"/>
      <c r="L1585" s="229"/>
      <c r="M1585" s="229"/>
      <c r="N1585" s="232"/>
    </row>
    <row r="1586" hidden="1" spans="1:14">
      <c r="A1586" s="235"/>
      <c r="B1586" s="230" t="s">
        <v>1036</v>
      </c>
      <c r="C1586" s="229">
        <v>231.287486</v>
      </c>
      <c r="D1586" s="229">
        <v>231.287486</v>
      </c>
      <c r="E1586" s="229">
        <v>231.287486</v>
      </c>
      <c r="F1586" s="229"/>
      <c r="G1586" s="229"/>
      <c r="H1586" s="229"/>
      <c r="I1586" s="229"/>
      <c r="J1586" s="229"/>
      <c r="K1586" s="229"/>
      <c r="L1586" s="229"/>
      <c r="M1586" s="229"/>
      <c r="N1586" s="232"/>
    </row>
    <row r="1587" hidden="1" spans="1:14">
      <c r="A1587" s="235"/>
      <c r="B1587" s="230" t="s">
        <v>1029</v>
      </c>
      <c r="C1587" s="229">
        <v>268.298</v>
      </c>
      <c r="D1587" s="229">
        <v>268.298</v>
      </c>
      <c r="E1587" s="229">
        <v>268.298</v>
      </c>
      <c r="F1587" s="229"/>
      <c r="G1587" s="229"/>
      <c r="H1587" s="229"/>
      <c r="I1587" s="229"/>
      <c r="J1587" s="229"/>
      <c r="K1587" s="229"/>
      <c r="L1587" s="229"/>
      <c r="M1587" s="229"/>
      <c r="N1587" s="232"/>
    </row>
    <row r="1588" hidden="1" spans="1:14">
      <c r="A1588" s="235"/>
      <c r="B1588" s="230" t="s">
        <v>1033</v>
      </c>
      <c r="C1588" s="229">
        <v>411.802633</v>
      </c>
      <c r="D1588" s="229">
        <v>411.802633</v>
      </c>
      <c r="E1588" s="229">
        <v>411.802633</v>
      </c>
      <c r="F1588" s="229"/>
      <c r="G1588" s="229"/>
      <c r="H1588" s="229"/>
      <c r="I1588" s="229"/>
      <c r="J1588" s="229"/>
      <c r="K1588" s="229"/>
      <c r="L1588" s="229"/>
      <c r="M1588" s="229"/>
      <c r="N1588" s="232"/>
    </row>
    <row r="1589" hidden="1" spans="1:14">
      <c r="A1589" s="235"/>
      <c r="B1589" s="230" t="s">
        <v>1027</v>
      </c>
      <c r="C1589" s="229">
        <v>2</v>
      </c>
      <c r="D1589" s="229">
        <v>2</v>
      </c>
      <c r="E1589" s="229">
        <v>2</v>
      </c>
      <c r="F1589" s="229"/>
      <c r="G1589" s="229"/>
      <c r="H1589" s="229"/>
      <c r="I1589" s="229"/>
      <c r="J1589" s="229"/>
      <c r="K1589" s="229"/>
      <c r="L1589" s="229"/>
      <c r="M1589" s="229"/>
      <c r="N1589" s="232"/>
    </row>
    <row r="1590" hidden="1" spans="1:14">
      <c r="A1590" s="235"/>
      <c r="B1590" s="230" t="s">
        <v>1032</v>
      </c>
      <c r="C1590" s="229">
        <v>2029.48332</v>
      </c>
      <c r="D1590" s="229">
        <v>2029.48332</v>
      </c>
      <c r="E1590" s="229">
        <v>1960.93332</v>
      </c>
      <c r="F1590" s="229">
        <v>68.55</v>
      </c>
      <c r="G1590" s="229"/>
      <c r="H1590" s="229"/>
      <c r="I1590" s="229"/>
      <c r="J1590" s="229"/>
      <c r="K1590" s="229"/>
      <c r="L1590" s="229"/>
      <c r="M1590" s="229"/>
      <c r="N1590" s="232"/>
    </row>
    <row r="1591" hidden="1" spans="1:14">
      <c r="A1591" s="235"/>
      <c r="B1591" s="230" t="s">
        <v>1037</v>
      </c>
      <c r="C1591" s="229">
        <v>3.75</v>
      </c>
      <c r="D1591" s="229">
        <v>3.75</v>
      </c>
      <c r="E1591" s="229">
        <v>3.75</v>
      </c>
      <c r="F1591" s="229"/>
      <c r="G1591" s="229"/>
      <c r="H1591" s="229"/>
      <c r="I1591" s="229"/>
      <c r="J1591" s="229"/>
      <c r="K1591" s="229"/>
      <c r="L1591" s="229"/>
      <c r="M1591" s="229"/>
      <c r="N1591" s="232"/>
    </row>
    <row r="1592" hidden="1" spans="1:14">
      <c r="A1592" s="235"/>
      <c r="B1592" s="230" t="s">
        <v>1028</v>
      </c>
      <c r="C1592" s="229">
        <v>150</v>
      </c>
      <c r="D1592" s="229">
        <v>150</v>
      </c>
      <c r="E1592" s="229">
        <v>150</v>
      </c>
      <c r="F1592" s="229"/>
      <c r="G1592" s="229"/>
      <c r="H1592" s="229"/>
      <c r="I1592" s="229"/>
      <c r="J1592" s="229"/>
      <c r="K1592" s="229"/>
      <c r="L1592" s="229"/>
      <c r="M1592" s="229"/>
      <c r="N1592" s="232"/>
    </row>
    <row r="1593" spans="1:14">
      <c r="A1593" s="227" t="s">
        <v>1124</v>
      </c>
      <c r="B1593" s="231" t="s">
        <v>772</v>
      </c>
      <c r="C1593" s="229">
        <v>9056.550165</v>
      </c>
      <c r="D1593" s="229">
        <v>9056.550165</v>
      </c>
      <c r="E1593" s="229">
        <v>8930.590165</v>
      </c>
      <c r="F1593" s="229">
        <v>125.96</v>
      </c>
      <c r="G1593" s="229"/>
      <c r="H1593" s="229"/>
      <c r="I1593" s="229"/>
      <c r="J1593" s="229"/>
      <c r="K1593" s="229"/>
      <c r="L1593" s="229"/>
      <c r="M1593" s="229"/>
      <c r="N1593" s="233" t="s">
        <v>578</v>
      </c>
    </row>
    <row r="1594" hidden="1" spans="1:14">
      <c r="A1594" s="235"/>
      <c r="B1594" s="230" t="s">
        <v>1035</v>
      </c>
      <c r="C1594" s="229">
        <v>40.4</v>
      </c>
      <c r="D1594" s="229">
        <v>40.4</v>
      </c>
      <c r="E1594" s="229">
        <v>40.4</v>
      </c>
      <c r="F1594" s="229"/>
      <c r="G1594" s="229"/>
      <c r="H1594" s="229"/>
      <c r="I1594" s="229"/>
      <c r="J1594" s="229"/>
      <c r="K1594" s="229"/>
      <c r="L1594" s="229"/>
      <c r="M1594" s="229"/>
      <c r="N1594" s="232"/>
    </row>
    <row r="1595" hidden="1" spans="1:14">
      <c r="A1595" s="235"/>
      <c r="B1595" s="230" t="s">
        <v>1036</v>
      </c>
      <c r="C1595" s="229">
        <v>667.976887</v>
      </c>
      <c r="D1595" s="229">
        <v>667.976887</v>
      </c>
      <c r="E1595" s="229">
        <v>667.976887</v>
      </c>
      <c r="F1595" s="229"/>
      <c r="G1595" s="229"/>
      <c r="H1595" s="229"/>
      <c r="I1595" s="229"/>
      <c r="J1595" s="229"/>
      <c r="K1595" s="229"/>
      <c r="L1595" s="229"/>
      <c r="M1595" s="229"/>
      <c r="N1595" s="232"/>
    </row>
    <row r="1596" hidden="1" spans="1:14">
      <c r="A1596" s="235"/>
      <c r="B1596" s="230" t="s">
        <v>1033</v>
      </c>
      <c r="C1596" s="229">
        <v>1139.589169</v>
      </c>
      <c r="D1596" s="229">
        <v>1139.589169</v>
      </c>
      <c r="E1596" s="229">
        <v>1139.589169</v>
      </c>
      <c r="F1596" s="229"/>
      <c r="G1596" s="229"/>
      <c r="H1596" s="229"/>
      <c r="I1596" s="229"/>
      <c r="J1596" s="229"/>
      <c r="K1596" s="229"/>
      <c r="L1596" s="229"/>
      <c r="M1596" s="229"/>
      <c r="N1596" s="232"/>
    </row>
    <row r="1597" hidden="1" spans="1:14">
      <c r="A1597" s="235"/>
      <c r="B1597" s="230" t="s">
        <v>1029</v>
      </c>
      <c r="C1597" s="229">
        <v>765.38</v>
      </c>
      <c r="D1597" s="229">
        <v>765.38</v>
      </c>
      <c r="E1597" s="229">
        <v>765.38</v>
      </c>
      <c r="F1597" s="229"/>
      <c r="G1597" s="229"/>
      <c r="H1597" s="229"/>
      <c r="I1597" s="229"/>
      <c r="J1597" s="229"/>
      <c r="K1597" s="229"/>
      <c r="L1597" s="229"/>
      <c r="M1597" s="229"/>
      <c r="N1597" s="232"/>
    </row>
    <row r="1598" hidden="1" spans="1:14">
      <c r="A1598" s="235"/>
      <c r="B1598" s="230" t="s">
        <v>1027</v>
      </c>
      <c r="C1598" s="229">
        <v>4</v>
      </c>
      <c r="D1598" s="229">
        <v>4</v>
      </c>
      <c r="E1598" s="229">
        <v>4</v>
      </c>
      <c r="F1598" s="229"/>
      <c r="G1598" s="229"/>
      <c r="H1598" s="229"/>
      <c r="I1598" s="229"/>
      <c r="J1598" s="229"/>
      <c r="K1598" s="229"/>
      <c r="L1598" s="229"/>
      <c r="M1598" s="229"/>
      <c r="N1598" s="232"/>
    </row>
    <row r="1599" hidden="1" spans="1:14">
      <c r="A1599" s="235"/>
      <c r="B1599" s="230" t="s">
        <v>1038</v>
      </c>
      <c r="C1599" s="229">
        <v>3.18</v>
      </c>
      <c r="D1599" s="229">
        <v>3.18</v>
      </c>
      <c r="E1599" s="229">
        <v>3.18</v>
      </c>
      <c r="F1599" s="229"/>
      <c r="G1599" s="229"/>
      <c r="H1599" s="229"/>
      <c r="I1599" s="229"/>
      <c r="J1599" s="229"/>
      <c r="K1599" s="229"/>
      <c r="L1599" s="229"/>
      <c r="M1599" s="229"/>
      <c r="N1599" s="232"/>
    </row>
    <row r="1600" hidden="1" spans="1:14">
      <c r="A1600" s="235"/>
      <c r="B1600" s="230" t="s">
        <v>1039</v>
      </c>
      <c r="C1600" s="229">
        <v>67.879857</v>
      </c>
      <c r="D1600" s="229">
        <v>67.879857</v>
      </c>
      <c r="E1600" s="229">
        <v>67.879857</v>
      </c>
      <c r="F1600" s="229"/>
      <c r="G1600" s="229"/>
      <c r="H1600" s="229"/>
      <c r="I1600" s="229"/>
      <c r="J1600" s="229"/>
      <c r="K1600" s="229"/>
      <c r="L1600" s="229"/>
      <c r="M1600" s="229"/>
      <c r="N1600" s="232"/>
    </row>
    <row r="1601" hidden="1" spans="1:14">
      <c r="A1601" s="235"/>
      <c r="B1601" s="230" t="s">
        <v>1034</v>
      </c>
      <c r="C1601" s="229">
        <v>90.558</v>
      </c>
      <c r="D1601" s="229">
        <v>90.558</v>
      </c>
      <c r="E1601" s="229">
        <v>90.558</v>
      </c>
      <c r="F1601" s="229"/>
      <c r="G1601" s="229"/>
      <c r="H1601" s="229"/>
      <c r="I1601" s="229"/>
      <c r="J1601" s="229"/>
      <c r="K1601" s="229"/>
      <c r="L1601" s="229"/>
      <c r="M1601" s="229"/>
      <c r="N1601" s="232"/>
    </row>
    <row r="1602" hidden="1" spans="1:14">
      <c r="A1602" s="235"/>
      <c r="B1602" s="230" t="s">
        <v>1037</v>
      </c>
      <c r="C1602" s="229">
        <v>13.404996</v>
      </c>
      <c r="D1602" s="229">
        <v>13.404996</v>
      </c>
      <c r="E1602" s="229">
        <v>13.404996</v>
      </c>
      <c r="F1602" s="229"/>
      <c r="G1602" s="229"/>
      <c r="H1602" s="229"/>
      <c r="I1602" s="229"/>
      <c r="J1602" s="229"/>
      <c r="K1602" s="229"/>
      <c r="L1602" s="229"/>
      <c r="M1602" s="229"/>
      <c r="N1602" s="232"/>
    </row>
    <row r="1603" hidden="1" spans="1:14">
      <c r="A1603" s="235"/>
      <c r="B1603" s="230" t="s">
        <v>1032</v>
      </c>
      <c r="C1603" s="229">
        <v>5779.381256</v>
      </c>
      <c r="D1603" s="229">
        <v>5779.381256</v>
      </c>
      <c r="E1603" s="229">
        <v>5653.421256</v>
      </c>
      <c r="F1603" s="229">
        <v>125.96</v>
      </c>
      <c r="G1603" s="229"/>
      <c r="H1603" s="229"/>
      <c r="I1603" s="229"/>
      <c r="J1603" s="229"/>
      <c r="K1603" s="229"/>
      <c r="L1603" s="229"/>
      <c r="M1603" s="229"/>
      <c r="N1603" s="232"/>
    </row>
    <row r="1604" hidden="1" spans="1:14">
      <c r="A1604" s="235"/>
      <c r="B1604" s="230" t="s">
        <v>1028</v>
      </c>
      <c r="C1604" s="229">
        <v>484.8</v>
      </c>
      <c r="D1604" s="229">
        <v>484.8</v>
      </c>
      <c r="E1604" s="229">
        <v>484.8</v>
      </c>
      <c r="F1604" s="229"/>
      <c r="G1604" s="229"/>
      <c r="H1604" s="229"/>
      <c r="I1604" s="229"/>
      <c r="J1604" s="229"/>
      <c r="K1604" s="229"/>
      <c r="L1604" s="229"/>
      <c r="M1604" s="229"/>
      <c r="N1604" s="232"/>
    </row>
    <row r="1605" spans="1:14">
      <c r="A1605" s="227" t="s">
        <v>1125</v>
      </c>
      <c r="B1605" s="231" t="s">
        <v>773</v>
      </c>
      <c r="C1605" s="229">
        <v>5555.333522</v>
      </c>
      <c r="D1605" s="229">
        <v>5555.333522</v>
      </c>
      <c r="E1605" s="229">
        <v>5441.063522</v>
      </c>
      <c r="F1605" s="229">
        <v>114.27</v>
      </c>
      <c r="G1605" s="229"/>
      <c r="H1605" s="229"/>
      <c r="I1605" s="229"/>
      <c r="J1605" s="229"/>
      <c r="K1605" s="229"/>
      <c r="L1605" s="229"/>
      <c r="M1605" s="229"/>
      <c r="N1605" s="233" t="s">
        <v>578</v>
      </c>
    </row>
    <row r="1606" hidden="1" spans="1:14">
      <c r="A1606" s="235"/>
      <c r="B1606" s="230" t="s">
        <v>1029</v>
      </c>
      <c r="C1606" s="229">
        <v>452.898</v>
      </c>
      <c r="D1606" s="229">
        <v>452.898</v>
      </c>
      <c r="E1606" s="229">
        <v>452.898</v>
      </c>
      <c r="F1606" s="229"/>
      <c r="G1606" s="229"/>
      <c r="H1606" s="229"/>
      <c r="I1606" s="229"/>
      <c r="J1606" s="229"/>
      <c r="K1606" s="229"/>
      <c r="L1606" s="229"/>
      <c r="M1606" s="229"/>
      <c r="N1606" s="232"/>
    </row>
    <row r="1607" hidden="1" spans="1:14">
      <c r="A1607" s="235"/>
      <c r="B1607" s="230" t="s">
        <v>1032</v>
      </c>
      <c r="C1607" s="229">
        <v>3449.4705</v>
      </c>
      <c r="D1607" s="229">
        <v>3449.4705</v>
      </c>
      <c r="E1607" s="229">
        <v>3335.2005</v>
      </c>
      <c r="F1607" s="229">
        <v>114.27</v>
      </c>
      <c r="G1607" s="229"/>
      <c r="H1607" s="229"/>
      <c r="I1607" s="229"/>
      <c r="J1607" s="229"/>
      <c r="K1607" s="229"/>
      <c r="L1607" s="229"/>
      <c r="M1607" s="229"/>
      <c r="N1607" s="232"/>
    </row>
    <row r="1608" hidden="1" spans="1:14">
      <c r="A1608" s="235"/>
      <c r="B1608" s="230" t="s">
        <v>1028</v>
      </c>
      <c r="C1608" s="229">
        <v>382.8</v>
      </c>
      <c r="D1608" s="229">
        <v>382.8</v>
      </c>
      <c r="E1608" s="229">
        <v>382.8</v>
      </c>
      <c r="F1608" s="229"/>
      <c r="G1608" s="229"/>
      <c r="H1608" s="229"/>
      <c r="I1608" s="229"/>
      <c r="J1608" s="229"/>
      <c r="K1608" s="229"/>
      <c r="L1608" s="229"/>
      <c r="M1608" s="229"/>
      <c r="N1608" s="232"/>
    </row>
    <row r="1609" hidden="1" spans="1:14">
      <c r="A1609" s="235"/>
      <c r="B1609" s="230" t="s">
        <v>1038</v>
      </c>
      <c r="C1609" s="229">
        <v>3.18</v>
      </c>
      <c r="D1609" s="229">
        <v>3.18</v>
      </c>
      <c r="E1609" s="229">
        <v>3.18</v>
      </c>
      <c r="F1609" s="229"/>
      <c r="G1609" s="229"/>
      <c r="H1609" s="229"/>
      <c r="I1609" s="229"/>
      <c r="J1609" s="229"/>
      <c r="K1609" s="229"/>
      <c r="L1609" s="229"/>
      <c r="M1609" s="229"/>
      <c r="N1609" s="232"/>
    </row>
    <row r="1610" hidden="1" spans="1:14">
      <c r="A1610" s="235"/>
      <c r="B1610" s="230" t="s">
        <v>1039</v>
      </c>
      <c r="C1610" s="229">
        <v>40.087896</v>
      </c>
      <c r="D1610" s="229">
        <v>40.087896</v>
      </c>
      <c r="E1610" s="229">
        <v>40.087896</v>
      </c>
      <c r="F1610" s="229"/>
      <c r="G1610" s="229"/>
      <c r="H1610" s="229"/>
      <c r="I1610" s="229"/>
      <c r="J1610" s="229"/>
      <c r="K1610" s="229"/>
      <c r="L1610" s="229"/>
      <c r="M1610" s="229"/>
      <c r="N1610" s="232"/>
    </row>
    <row r="1611" hidden="1" spans="1:14">
      <c r="A1611" s="235"/>
      <c r="B1611" s="230" t="s">
        <v>1037</v>
      </c>
      <c r="C1611" s="229">
        <v>9.57</v>
      </c>
      <c r="D1611" s="229">
        <v>9.57</v>
      </c>
      <c r="E1611" s="229">
        <v>9.57</v>
      </c>
      <c r="F1611" s="229"/>
      <c r="G1611" s="229"/>
      <c r="H1611" s="229"/>
      <c r="I1611" s="229"/>
      <c r="J1611" s="229"/>
      <c r="K1611" s="229"/>
      <c r="L1611" s="229"/>
      <c r="M1611" s="229"/>
      <c r="N1611" s="232"/>
    </row>
    <row r="1612" hidden="1" spans="1:14">
      <c r="A1612" s="235"/>
      <c r="B1612" s="230" t="s">
        <v>1036</v>
      </c>
      <c r="C1612" s="229">
        <v>394.3359</v>
      </c>
      <c r="D1612" s="229">
        <v>394.3359</v>
      </c>
      <c r="E1612" s="229">
        <v>394.3359</v>
      </c>
      <c r="F1612" s="229"/>
      <c r="G1612" s="229"/>
      <c r="H1612" s="229"/>
      <c r="I1612" s="229"/>
      <c r="J1612" s="229"/>
      <c r="K1612" s="229"/>
      <c r="L1612" s="229"/>
      <c r="M1612" s="229"/>
      <c r="N1612" s="232"/>
    </row>
    <row r="1613" hidden="1" spans="1:14">
      <c r="A1613" s="235"/>
      <c r="B1613" s="230" t="s">
        <v>1035</v>
      </c>
      <c r="C1613" s="229">
        <v>31.9</v>
      </c>
      <c r="D1613" s="229">
        <v>31.9</v>
      </c>
      <c r="E1613" s="229">
        <v>31.9</v>
      </c>
      <c r="F1613" s="229"/>
      <c r="G1613" s="229"/>
      <c r="H1613" s="229"/>
      <c r="I1613" s="229"/>
      <c r="J1613" s="229"/>
      <c r="K1613" s="229"/>
      <c r="L1613" s="229"/>
      <c r="M1613" s="229"/>
      <c r="N1613" s="232"/>
    </row>
    <row r="1614" hidden="1" spans="1:14">
      <c r="A1614" s="235"/>
      <c r="B1614" s="230" t="s">
        <v>1034</v>
      </c>
      <c r="C1614" s="229">
        <v>85.176</v>
      </c>
      <c r="D1614" s="229">
        <v>85.176</v>
      </c>
      <c r="E1614" s="229">
        <v>85.176</v>
      </c>
      <c r="F1614" s="229"/>
      <c r="G1614" s="229"/>
      <c r="H1614" s="229"/>
      <c r="I1614" s="229"/>
      <c r="J1614" s="229"/>
      <c r="K1614" s="229"/>
      <c r="L1614" s="229"/>
      <c r="M1614" s="229"/>
      <c r="N1614" s="232"/>
    </row>
    <row r="1615" hidden="1" spans="1:14">
      <c r="A1615" s="235"/>
      <c r="B1615" s="230" t="s">
        <v>1033</v>
      </c>
      <c r="C1615" s="229">
        <v>701.915226</v>
      </c>
      <c r="D1615" s="229">
        <v>701.915226</v>
      </c>
      <c r="E1615" s="229">
        <v>701.915226</v>
      </c>
      <c r="F1615" s="229"/>
      <c r="G1615" s="229"/>
      <c r="H1615" s="229"/>
      <c r="I1615" s="229"/>
      <c r="J1615" s="229"/>
      <c r="K1615" s="229"/>
      <c r="L1615" s="229"/>
      <c r="M1615" s="229"/>
      <c r="N1615" s="232"/>
    </row>
    <row r="1616" hidden="1" spans="1:14">
      <c r="A1616" s="235"/>
      <c r="B1616" s="230" t="s">
        <v>1027</v>
      </c>
      <c r="C1616" s="229">
        <v>4</v>
      </c>
      <c r="D1616" s="229">
        <v>4</v>
      </c>
      <c r="E1616" s="229">
        <v>4</v>
      </c>
      <c r="F1616" s="229"/>
      <c r="G1616" s="229"/>
      <c r="H1616" s="229"/>
      <c r="I1616" s="229"/>
      <c r="J1616" s="229"/>
      <c r="K1616" s="229"/>
      <c r="L1616" s="229"/>
      <c r="M1616" s="229"/>
      <c r="N1616" s="232"/>
    </row>
    <row r="1617" spans="1:14">
      <c r="A1617" s="227" t="s">
        <v>1126</v>
      </c>
      <c r="B1617" s="231" t="s">
        <v>774</v>
      </c>
      <c r="C1617" s="229">
        <v>4652.891885</v>
      </c>
      <c r="D1617" s="229">
        <v>4652.891885</v>
      </c>
      <c r="E1617" s="229">
        <v>4594.191885</v>
      </c>
      <c r="F1617" s="229">
        <v>58.7</v>
      </c>
      <c r="G1617" s="229"/>
      <c r="H1617" s="229"/>
      <c r="I1617" s="229"/>
      <c r="J1617" s="229"/>
      <c r="K1617" s="229"/>
      <c r="L1617" s="229"/>
      <c r="M1617" s="229"/>
      <c r="N1617" s="233" t="s">
        <v>578</v>
      </c>
    </row>
    <row r="1618" hidden="1" spans="1:14">
      <c r="A1618" s="235"/>
      <c r="B1618" s="230" t="s">
        <v>1035</v>
      </c>
      <c r="C1618" s="229">
        <v>27.9</v>
      </c>
      <c r="D1618" s="229">
        <v>27.9</v>
      </c>
      <c r="E1618" s="229">
        <v>27.9</v>
      </c>
      <c r="F1618" s="229"/>
      <c r="G1618" s="229"/>
      <c r="H1618" s="229"/>
      <c r="I1618" s="229"/>
      <c r="J1618" s="229"/>
      <c r="K1618" s="229"/>
      <c r="L1618" s="229"/>
      <c r="M1618" s="229"/>
      <c r="N1618" s="232"/>
    </row>
    <row r="1619" hidden="1" spans="1:14">
      <c r="A1619" s="235"/>
      <c r="B1619" s="230" t="s">
        <v>1036</v>
      </c>
      <c r="C1619" s="229">
        <v>338.63998</v>
      </c>
      <c r="D1619" s="229">
        <v>338.63998</v>
      </c>
      <c r="E1619" s="229">
        <v>338.63998</v>
      </c>
      <c r="F1619" s="229"/>
      <c r="G1619" s="229"/>
      <c r="H1619" s="229"/>
      <c r="I1619" s="229"/>
      <c r="J1619" s="229"/>
      <c r="K1619" s="229"/>
      <c r="L1619" s="229"/>
      <c r="M1619" s="229"/>
      <c r="N1619" s="232"/>
    </row>
    <row r="1620" hidden="1" spans="1:14">
      <c r="A1620" s="235"/>
      <c r="B1620" s="230" t="s">
        <v>1033</v>
      </c>
      <c r="C1620" s="229">
        <v>641.418004</v>
      </c>
      <c r="D1620" s="229">
        <v>641.418004</v>
      </c>
      <c r="E1620" s="229">
        <v>641.418004</v>
      </c>
      <c r="F1620" s="229"/>
      <c r="G1620" s="229"/>
      <c r="H1620" s="229"/>
      <c r="I1620" s="229"/>
      <c r="J1620" s="229"/>
      <c r="K1620" s="229"/>
      <c r="L1620" s="229"/>
      <c r="M1620" s="229"/>
      <c r="N1620" s="232"/>
    </row>
    <row r="1621" hidden="1" spans="1:14">
      <c r="A1621" s="235"/>
      <c r="B1621" s="230" t="s">
        <v>1027</v>
      </c>
      <c r="C1621" s="229">
        <v>2</v>
      </c>
      <c r="D1621" s="229">
        <v>2</v>
      </c>
      <c r="E1621" s="229">
        <v>2</v>
      </c>
      <c r="F1621" s="229"/>
      <c r="G1621" s="229"/>
      <c r="H1621" s="229"/>
      <c r="I1621" s="229"/>
      <c r="J1621" s="229"/>
      <c r="K1621" s="229"/>
      <c r="L1621" s="229"/>
      <c r="M1621" s="229"/>
      <c r="N1621" s="232"/>
    </row>
    <row r="1622" hidden="1" spans="1:14">
      <c r="A1622" s="235"/>
      <c r="B1622" s="230" t="s">
        <v>1029</v>
      </c>
      <c r="C1622" s="229">
        <v>292.0281</v>
      </c>
      <c r="D1622" s="229">
        <v>292.0281</v>
      </c>
      <c r="E1622" s="229">
        <v>292.0281</v>
      </c>
      <c r="F1622" s="229"/>
      <c r="G1622" s="229"/>
      <c r="H1622" s="229"/>
      <c r="I1622" s="229"/>
      <c r="J1622" s="229"/>
      <c r="K1622" s="229"/>
      <c r="L1622" s="229"/>
      <c r="M1622" s="229"/>
      <c r="N1622" s="232"/>
    </row>
    <row r="1623" hidden="1" spans="1:14">
      <c r="A1623" s="235"/>
      <c r="B1623" s="230" t="s">
        <v>1032</v>
      </c>
      <c r="C1623" s="229">
        <v>2917.177436</v>
      </c>
      <c r="D1623" s="229">
        <v>2917.177436</v>
      </c>
      <c r="E1623" s="229">
        <v>2858.477436</v>
      </c>
      <c r="F1623" s="229">
        <v>58.7</v>
      </c>
      <c r="G1623" s="229"/>
      <c r="H1623" s="229"/>
      <c r="I1623" s="229"/>
      <c r="J1623" s="229"/>
      <c r="K1623" s="229"/>
      <c r="L1623" s="229"/>
      <c r="M1623" s="229"/>
      <c r="N1623" s="232"/>
    </row>
    <row r="1624" hidden="1" spans="1:14">
      <c r="A1624" s="235"/>
      <c r="B1624" s="230" t="s">
        <v>1038</v>
      </c>
      <c r="C1624" s="229">
        <v>2.564</v>
      </c>
      <c r="D1624" s="229">
        <v>2.564</v>
      </c>
      <c r="E1624" s="229">
        <v>2.564</v>
      </c>
      <c r="F1624" s="229"/>
      <c r="G1624" s="229"/>
      <c r="H1624" s="229"/>
      <c r="I1624" s="229"/>
      <c r="J1624" s="229"/>
      <c r="K1624" s="229"/>
      <c r="L1624" s="229"/>
      <c r="M1624" s="229"/>
      <c r="N1624" s="232"/>
    </row>
    <row r="1625" hidden="1" spans="1:14">
      <c r="A1625" s="235"/>
      <c r="B1625" s="230" t="s">
        <v>1039</v>
      </c>
      <c r="C1625" s="229">
        <v>35.896453</v>
      </c>
      <c r="D1625" s="229">
        <v>35.896453</v>
      </c>
      <c r="E1625" s="229">
        <v>35.896453</v>
      </c>
      <c r="F1625" s="229"/>
      <c r="G1625" s="229"/>
      <c r="H1625" s="229"/>
      <c r="I1625" s="229"/>
      <c r="J1625" s="229"/>
      <c r="K1625" s="229"/>
      <c r="L1625" s="229"/>
      <c r="M1625" s="229"/>
      <c r="N1625" s="232"/>
    </row>
    <row r="1626" hidden="1" spans="1:14">
      <c r="A1626" s="235"/>
      <c r="B1626" s="230" t="s">
        <v>1037</v>
      </c>
      <c r="C1626" s="229">
        <v>23.793912</v>
      </c>
      <c r="D1626" s="229">
        <v>23.793912</v>
      </c>
      <c r="E1626" s="229">
        <v>23.793912</v>
      </c>
      <c r="F1626" s="229"/>
      <c r="G1626" s="229"/>
      <c r="H1626" s="229"/>
      <c r="I1626" s="229"/>
      <c r="J1626" s="229"/>
      <c r="K1626" s="229"/>
      <c r="L1626" s="229"/>
      <c r="M1626" s="229"/>
      <c r="N1626" s="232"/>
    </row>
    <row r="1627" hidden="1" spans="1:14">
      <c r="A1627" s="235"/>
      <c r="B1627" s="230" t="s">
        <v>1034</v>
      </c>
      <c r="C1627" s="229">
        <v>36.504</v>
      </c>
      <c r="D1627" s="229">
        <v>36.504</v>
      </c>
      <c r="E1627" s="229">
        <v>36.504</v>
      </c>
      <c r="F1627" s="229"/>
      <c r="G1627" s="229"/>
      <c r="H1627" s="229"/>
      <c r="I1627" s="229"/>
      <c r="J1627" s="229"/>
      <c r="K1627" s="229"/>
      <c r="L1627" s="229"/>
      <c r="M1627" s="229"/>
      <c r="N1627" s="232"/>
    </row>
    <row r="1628" hidden="1" spans="1:14">
      <c r="A1628" s="235"/>
      <c r="B1628" s="230" t="s">
        <v>1028</v>
      </c>
      <c r="C1628" s="229">
        <v>334.8</v>
      </c>
      <c r="D1628" s="229">
        <v>334.8</v>
      </c>
      <c r="E1628" s="229">
        <v>334.8</v>
      </c>
      <c r="F1628" s="229"/>
      <c r="G1628" s="229"/>
      <c r="H1628" s="229"/>
      <c r="I1628" s="229"/>
      <c r="J1628" s="229"/>
      <c r="K1628" s="229"/>
      <c r="L1628" s="229"/>
      <c r="M1628" s="229"/>
      <c r="N1628" s="232"/>
    </row>
    <row r="1629" hidden="1" spans="1:14">
      <c r="A1629" s="235"/>
      <c r="B1629" s="230" t="s">
        <v>1042</v>
      </c>
      <c r="C1629" s="229">
        <v>0.17</v>
      </c>
      <c r="D1629" s="229">
        <v>0.17</v>
      </c>
      <c r="E1629" s="229">
        <v>0.17</v>
      </c>
      <c r="F1629" s="229"/>
      <c r="G1629" s="229"/>
      <c r="H1629" s="229"/>
      <c r="I1629" s="229"/>
      <c r="J1629" s="229"/>
      <c r="K1629" s="229"/>
      <c r="L1629" s="229"/>
      <c r="M1629" s="229"/>
      <c r="N1629" s="232"/>
    </row>
    <row r="1630" spans="1:14">
      <c r="A1630" s="227" t="s">
        <v>1127</v>
      </c>
      <c r="B1630" s="231" t="s">
        <v>775</v>
      </c>
      <c r="C1630" s="229">
        <v>4567.621189</v>
      </c>
      <c r="D1630" s="229">
        <v>4567.621189</v>
      </c>
      <c r="E1630" s="229">
        <v>4496.755189</v>
      </c>
      <c r="F1630" s="229">
        <v>70.866</v>
      </c>
      <c r="G1630" s="229"/>
      <c r="H1630" s="229"/>
      <c r="I1630" s="229"/>
      <c r="J1630" s="229"/>
      <c r="K1630" s="229"/>
      <c r="L1630" s="229"/>
      <c r="M1630" s="229"/>
      <c r="N1630" s="233" t="s">
        <v>578</v>
      </c>
    </row>
    <row r="1631" hidden="1" spans="1:14">
      <c r="A1631" s="235"/>
      <c r="B1631" s="230" t="s">
        <v>1039</v>
      </c>
      <c r="C1631" s="229">
        <v>35.169897</v>
      </c>
      <c r="D1631" s="229">
        <v>35.169897</v>
      </c>
      <c r="E1631" s="229">
        <v>35.169897</v>
      </c>
      <c r="F1631" s="229"/>
      <c r="G1631" s="229"/>
      <c r="H1631" s="229"/>
      <c r="I1631" s="229"/>
      <c r="J1631" s="229"/>
      <c r="K1631" s="229"/>
      <c r="L1631" s="229"/>
      <c r="M1631" s="229"/>
      <c r="N1631" s="232"/>
    </row>
    <row r="1632" hidden="1" spans="1:14">
      <c r="A1632" s="235"/>
      <c r="B1632" s="230" t="s">
        <v>1037</v>
      </c>
      <c r="C1632" s="229">
        <v>8.85</v>
      </c>
      <c r="D1632" s="229">
        <v>8.85</v>
      </c>
      <c r="E1632" s="229">
        <v>8.85</v>
      </c>
      <c r="F1632" s="229"/>
      <c r="G1632" s="229"/>
      <c r="H1632" s="229"/>
      <c r="I1632" s="229"/>
      <c r="J1632" s="229"/>
      <c r="K1632" s="229"/>
      <c r="L1632" s="229"/>
      <c r="M1632" s="229"/>
      <c r="N1632" s="232"/>
    </row>
    <row r="1633" hidden="1" spans="1:14">
      <c r="A1633" s="235"/>
      <c r="B1633" s="230" t="s">
        <v>1034</v>
      </c>
      <c r="C1633" s="229">
        <v>66.158736</v>
      </c>
      <c r="D1633" s="229">
        <v>66.158736</v>
      </c>
      <c r="E1633" s="229">
        <v>66.158736</v>
      </c>
      <c r="F1633" s="229"/>
      <c r="G1633" s="229"/>
      <c r="H1633" s="229"/>
      <c r="I1633" s="229"/>
      <c r="J1633" s="229"/>
      <c r="K1633" s="229"/>
      <c r="L1633" s="229"/>
      <c r="M1633" s="229"/>
      <c r="N1633" s="232"/>
    </row>
    <row r="1634" hidden="1" spans="1:14">
      <c r="A1634" s="235"/>
      <c r="B1634" s="230" t="s">
        <v>1035</v>
      </c>
      <c r="C1634" s="229">
        <v>29.5</v>
      </c>
      <c r="D1634" s="229">
        <v>29.5</v>
      </c>
      <c r="E1634" s="229">
        <v>29.5</v>
      </c>
      <c r="F1634" s="229"/>
      <c r="G1634" s="229"/>
      <c r="H1634" s="229"/>
      <c r="I1634" s="229"/>
      <c r="J1634" s="229"/>
      <c r="K1634" s="229"/>
      <c r="L1634" s="229"/>
      <c r="M1634" s="229"/>
      <c r="N1634" s="232"/>
    </row>
    <row r="1635" hidden="1" spans="1:14">
      <c r="A1635" s="235"/>
      <c r="B1635" s="230" t="s">
        <v>1036</v>
      </c>
      <c r="C1635" s="229">
        <v>335.63896</v>
      </c>
      <c r="D1635" s="229">
        <v>335.63896</v>
      </c>
      <c r="E1635" s="229">
        <v>335.63896</v>
      </c>
      <c r="F1635" s="229"/>
      <c r="G1635" s="229"/>
      <c r="H1635" s="229"/>
      <c r="I1635" s="229"/>
      <c r="J1635" s="229"/>
      <c r="K1635" s="229"/>
      <c r="L1635" s="229"/>
      <c r="M1635" s="229"/>
      <c r="N1635" s="232"/>
    </row>
    <row r="1636" hidden="1" spans="1:14">
      <c r="A1636" s="235"/>
      <c r="B1636" s="230" t="s">
        <v>1027</v>
      </c>
      <c r="C1636" s="229">
        <v>2</v>
      </c>
      <c r="D1636" s="229">
        <v>2</v>
      </c>
      <c r="E1636" s="229">
        <v>2</v>
      </c>
      <c r="F1636" s="229"/>
      <c r="G1636" s="229"/>
      <c r="H1636" s="229"/>
      <c r="I1636" s="229"/>
      <c r="J1636" s="229"/>
      <c r="K1636" s="229"/>
      <c r="L1636" s="229"/>
      <c r="M1636" s="229"/>
      <c r="N1636" s="232"/>
    </row>
    <row r="1637" hidden="1" spans="1:14">
      <c r="A1637" s="235"/>
      <c r="B1637" s="230" t="s">
        <v>1032</v>
      </c>
      <c r="C1637" s="229">
        <v>2910.788532</v>
      </c>
      <c r="D1637" s="229">
        <v>2910.788532</v>
      </c>
      <c r="E1637" s="229">
        <v>2839.922532</v>
      </c>
      <c r="F1637" s="229">
        <v>70.866</v>
      </c>
      <c r="G1637" s="229"/>
      <c r="H1637" s="229"/>
      <c r="I1637" s="229"/>
      <c r="J1637" s="229"/>
      <c r="K1637" s="229"/>
      <c r="L1637" s="229"/>
      <c r="M1637" s="229"/>
      <c r="N1637" s="232"/>
    </row>
    <row r="1638" hidden="1" spans="1:14">
      <c r="A1638" s="235"/>
      <c r="B1638" s="230" t="s">
        <v>1029</v>
      </c>
      <c r="C1638" s="229">
        <v>191.234</v>
      </c>
      <c r="D1638" s="229">
        <v>191.234</v>
      </c>
      <c r="E1638" s="229">
        <v>191.234</v>
      </c>
      <c r="F1638" s="229"/>
      <c r="G1638" s="229"/>
      <c r="H1638" s="229"/>
      <c r="I1638" s="229"/>
      <c r="J1638" s="229"/>
      <c r="K1638" s="229"/>
      <c r="L1638" s="229"/>
      <c r="M1638" s="229"/>
      <c r="N1638" s="232"/>
    </row>
    <row r="1639" hidden="1" spans="1:14">
      <c r="A1639" s="235"/>
      <c r="B1639" s="230" t="s">
        <v>1028</v>
      </c>
      <c r="C1639" s="229">
        <v>354</v>
      </c>
      <c r="D1639" s="229">
        <v>354</v>
      </c>
      <c r="E1639" s="229">
        <v>354</v>
      </c>
      <c r="F1639" s="229"/>
      <c r="G1639" s="229"/>
      <c r="H1639" s="229"/>
      <c r="I1639" s="229"/>
      <c r="J1639" s="229"/>
      <c r="K1639" s="229"/>
      <c r="L1639" s="229"/>
      <c r="M1639" s="229"/>
      <c r="N1639" s="232"/>
    </row>
    <row r="1640" hidden="1" spans="1:14">
      <c r="A1640" s="235"/>
      <c r="B1640" s="230" t="s">
        <v>1038</v>
      </c>
      <c r="C1640" s="229">
        <v>1.38</v>
      </c>
      <c r="D1640" s="229">
        <v>1.38</v>
      </c>
      <c r="E1640" s="229">
        <v>1.38</v>
      </c>
      <c r="F1640" s="229"/>
      <c r="G1640" s="229"/>
      <c r="H1640" s="229"/>
      <c r="I1640" s="229"/>
      <c r="J1640" s="229"/>
      <c r="K1640" s="229"/>
      <c r="L1640" s="229"/>
      <c r="M1640" s="229"/>
      <c r="N1640" s="232"/>
    </row>
    <row r="1641" hidden="1" spans="1:14">
      <c r="A1641" s="235"/>
      <c r="B1641" s="230" t="s">
        <v>1033</v>
      </c>
      <c r="C1641" s="229">
        <v>632.901064</v>
      </c>
      <c r="D1641" s="229">
        <v>632.901064</v>
      </c>
      <c r="E1641" s="229">
        <v>632.901064</v>
      </c>
      <c r="F1641" s="229"/>
      <c r="G1641" s="229"/>
      <c r="H1641" s="229"/>
      <c r="I1641" s="229"/>
      <c r="J1641" s="229"/>
      <c r="K1641" s="229"/>
      <c r="L1641" s="229"/>
      <c r="M1641" s="229"/>
      <c r="N1641" s="232"/>
    </row>
    <row r="1642" spans="1:14">
      <c r="A1642" s="227" t="s">
        <v>1128</v>
      </c>
      <c r="B1642" s="231" t="s">
        <v>776</v>
      </c>
      <c r="C1642" s="229">
        <v>3387.16332</v>
      </c>
      <c r="D1642" s="229">
        <v>3387.16332</v>
      </c>
      <c r="E1642" s="229">
        <v>3363.16332</v>
      </c>
      <c r="F1642" s="229">
        <v>24</v>
      </c>
      <c r="G1642" s="229"/>
      <c r="H1642" s="229"/>
      <c r="I1642" s="229"/>
      <c r="J1642" s="229"/>
      <c r="K1642" s="229"/>
      <c r="L1642" s="229"/>
      <c r="M1642" s="229"/>
      <c r="N1642" s="233" t="s">
        <v>578</v>
      </c>
    </row>
    <row r="1643" hidden="1" spans="1:14">
      <c r="A1643" s="235"/>
      <c r="B1643" s="230" t="s">
        <v>1033</v>
      </c>
      <c r="C1643" s="229">
        <v>428.149207</v>
      </c>
      <c r="D1643" s="229">
        <v>428.149207</v>
      </c>
      <c r="E1643" s="229">
        <v>428.149207</v>
      </c>
      <c r="F1643" s="229"/>
      <c r="G1643" s="229"/>
      <c r="H1643" s="229"/>
      <c r="I1643" s="229"/>
      <c r="J1643" s="229"/>
      <c r="K1643" s="229"/>
      <c r="L1643" s="229"/>
      <c r="M1643" s="229"/>
      <c r="N1643" s="232"/>
    </row>
    <row r="1644" hidden="1" spans="1:14">
      <c r="A1644" s="235"/>
      <c r="B1644" s="230" t="s">
        <v>1037</v>
      </c>
      <c r="C1644" s="229">
        <v>5.19</v>
      </c>
      <c r="D1644" s="229">
        <v>5.19</v>
      </c>
      <c r="E1644" s="229">
        <v>5.19</v>
      </c>
      <c r="F1644" s="229"/>
      <c r="G1644" s="229"/>
      <c r="H1644" s="229"/>
      <c r="I1644" s="229"/>
      <c r="J1644" s="229"/>
      <c r="K1644" s="229"/>
      <c r="L1644" s="229"/>
      <c r="M1644" s="229"/>
      <c r="N1644" s="232"/>
    </row>
    <row r="1645" hidden="1" spans="1:14">
      <c r="A1645" s="235"/>
      <c r="B1645" s="230" t="s">
        <v>1034</v>
      </c>
      <c r="C1645" s="229">
        <v>34.476</v>
      </c>
      <c r="D1645" s="229">
        <v>34.476</v>
      </c>
      <c r="E1645" s="229">
        <v>34.476</v>
      </c>
      <c r="F1645" s="229"/>
      <c r="G1645" s="229"/>
      <c r="H1645" s="229"/>
      <c r="I1645" s="229"/>
      <c r="J1645" s="229"/>
      <c r="K1645" s="229"/>
      <c r="L1645" s="229"/>
      <c r="M1645" s="229"/>
      <c r="N1645" s="232"/>
    </row>
    <row r="1646" hidden="1" spans="1:14">
      <c r="A1646" s="235"/>
      <c r="B1646" s="230" t="s">
        <v>1028</v>
      </c>
      <c r="C1646" s="229">
        <v>207.6</v>
      </c>
      <c r="D1646" s="229">
        <v>207.6</v>
      </c>
      <c r="E1646" s="229">
        <v>207.6</v>
      </c>
      <c r="F1646" s="229"/>
      <c r="G1646" s="229"/>
      <c r="H1646" s="229"/>
      <c r="I1646" s="229"/>
      <c r="J1646" s="229"/>
      <c r="K1646" s="229"/>
      <c r="L1646" s="229"/>
      <c r="M1646" s="229"/>
      <c r="N1646" s="232"/>
    </row>
    <row r="1647" hidden="1" spans="1:14">
      <c r="A1647" s="235"/>
      <c r="B1647" s="230" t="s">
        <v>1035</v>
      </c>
      <c r="C1647" s="229">
        <v>17.3</v>
      </c>
      <c r="D1647" s="229">
        <v>17.3</v>
      </c>
      <c r="E1647" s="229">
        <v>17.3</v>
      </c>
      <c r="F1647" s="229"/>
      <c r="G1647" s="229"/>
      <c r="H1647" s="229"/>
      <c r="I1647" s="229"/>
      <c r="J1647" s="229"/>
      <c r="K1647" s="229"/>
      <c r="L1647" s="229"/>
      <c r="M1647" s="229"/>
      <c r="N1647" s="232"/>
    </row>
    <row r="1648" hidden="1" spans="1:14">
      <c r="A1648" s="235"/>
      <c r="B1648" s="230" t="s">
        <v>1027</v>
      </c>
      <c r="C1648" s="229">
        <v>2</v>
      </c>
      <c r="D1648" s="229">
        <v>2</v>
      </c>
      <c r="E1648" s="229">
        <v>2</v>
      </c>
      <c r="F1648" s="229"/>
      <c r="G1648" s="229"/>
      <c r="H1648" s="229"/>
      <c r="I1648" s="229"/>
      <c r="J1648" s="229"/>
      <c r="K1648" s="229"/>
      <c r="L1648" s="229"/>
      <c r="M1648" s="229"/>
      <c r="N1648" s="232"/>
    </row>
    <row r="1649" hidden="1" spans="1:14">
      <c r="A1649" s="235"/>
      <c r="B1649" s="230" t="s">
        <v>1029</v>
      </c>
      <c r="C1649" s="229">
        <v>247.88</v>
      </c>
      <c r="D1649" s="229">
        <v>247.88</v>
      </c>
      <c r="E1649" s="229">
        <v>247.88</v>
      </c>
      <c r="F1649" s="229"/>
      <c r="G1649" s="229"/>
      <c r="H1649" s="229"/>
      <c r="I1649" s="229"/>
      <c r="J1649" s="229"/>
      <c r="K1649" s="229"/>
      <c r="L1649" s="229"/>
      <c r="M1649" s="229"/>
      <c r="N1649" s="232"/>
    </row>
    <row r="1650" hidden="1" spans="1:14">
      <c r="A1650" s="235"/>
      <c r="B1650" s="230" t="s">
        <v>1032</v>
      </c>
      <c r="C1650" s="229">
        <v>2168.521788</v>
      </c>
      <c r="D1650" s="229">
        <v>2168.521788</v>
      </c>
      <c r="E1650" s="229">
        <v>2144.521788</v>
      </c>
      <c r="F1650" s="229">
        <v>24</v>
      </c>
      <c r="G1650" s="229"/>
      <c r="H1650" s="229"/>
      <c r="I1650" s="229"/>
      <c r="J1650" s="229"/>
      <c r="K1650" s="229"/>
      <c r="L1650" s="229"/>
      <c r="M1650" s="229"/>
      <c r="N1650" s="232"/>
    </row>
    <row r="1651" hidden="1" spans="1:14">
      <c r="A1651" s="235"/>
      <c r="B1651" s="230" t="s">
        <v>1036</v>
      </c>
      <c r="C1651" s="229">
        <v>250.866215</v>
      </c>
      <c r="D1651" s="229">
        <v>250.866215</v>
      </c>
      <c r="E1651" s="229">
        <v>250.866215</v>
      </c>
      <c r="F1651" s="229"/>
      <c r="G1651" s="229"/>
      <c r="H1651" s="229"/>
      <c r="I1651" s="229"/>
      <c r="J1651" s="229"/>
      <c r="K1651" s="229"/>
      <c r="L1651" s="229"/>
      <c r="M1651" s="229"/>
      <c r="N1651" s="232"/>
    </row>
    <row r="1652" hidden="1" spans="1:14">
      <c r="A1652" s="235"/>
      <c r="B1652" s="230" t="s">
        <v>1039</v>
      </c>
      <c r="C1652" s="229">
        <v>25.18011</v>
      </c>
      <c r="D1652" s="229">
        <v>25.18011</v>
      </c>
      <c r="E1652" s="229">
        <v>25.18011</v>
      </c>
      <c r="F1652" s="229"/>
      <c r="G1652" s="229"/>
      <c r="H1652" s="229"/>
      <c r="I1652" s="229"/>
      <c r="J1652" s="229"/>
      <c r="K1652" s="229"/>
      <c r="L1652" s="229"/>
      <c r="M1652" s="229"/>
      <c r="N1652" s="232"/>
    </row>
    <row r="1653" spans="1:14">
      <c r="A1653" s="227" t="s">
        <v>1129</v>
      </c>
      <c r="B1653" s="231" t="s">
        <v>777</v>
      </c>
      <c r="C1653" s="229">
        <v>4842.541846</v>
      </c>
      <c r="D1653" s="229">
        <v>4842.541846</v>
      </c>
      <c r="E1653" s="229">
        <v>4770.091846</v>
      </c>
      <c r="F1653" s="229">
        <v>72.45</v>
      </c>
      <c r="G1653" s="229"/>
      <c r="H1653" s="229"/>
      <c r="I1653" s="229"/>
      <c r="J1653" s="229"/>
      <c r="K1653" s="229"/>
      <c r="L1653" s="229"/>
      <c r="M1653" s="229"/>
      <c r="N1653" s="233" t="s">
        <v>578</v>
      </c>
    </row>
    <row r="1654" hidden="1" spans="1:14">
      <c r="A1654" s="235"/>
      <c r="B1654" s="230" t="s">
        <v>1039</v>
      </c>
      <c r="C1654" s="229">
        <v>36.149958</v>
      </c>
      <c r="D1654" s="229">
        <v>36.149958</v>
      </c>
      <c r="E1654" s="229">
        <v>36.149958</v>
      </c>
      <c r="F1654" s="229"/>
      <c r="G1654" s="229"/>
      <c r="H1654" s="229"/>
      <c r="I1654" s="229"/>
      <c r="J1654" s="229"/>
      <c r="K1654" s="229"/>
      <c r="L1654" s="229"/>
      <c r="M1654" s="229"/>
      <c r="N1654" s="232"/>
    </row>
    <row r="1655" hidden="1" spans="1:14">
      <c r="A1655" s="235"/>
      <c r="B1655" s="230" t="s">
        <v>1037</v>
      </c>
      <c r="C1655" s="229">
        <v>21.4391</v>
      </c>
      <c r="D1655" s="229">
        <v>21.4391</v>
      </c>
      <c r="E1655" s="229">
        <v>21.4391</v>
      </c>
      <c r="F1655" s="229"/>
      <c r="G1655" s="229"/>
      <c r="H1655" s="229"/>
      <c r="I1655" s="229"/>
      <c r="J1655" s="229"/>
      <c r="K1655" s="229"/>
      <c r="L1655" s="229"/>
      <c r="M1655" s="229"/>
      <c r="N1655" s="232"/>
    </row>
    <row r="1656" hidden="1" spans="1:14">
      <c r="A1656" s="235"/>
      <c r="B1656" s="230" t="s">
        <v>1034</v>
      </c>
      <c r="C1656" s="229">
        <v>40.56</v>
      </c>
      <c r="D1656" s="229">
        <v>40.56</v>
      </c>
      <c r="E1656" s="229">
        <v>40.56</v>
      </c>
      <c r="F1656" s="229"/>
      <c r="G1656" s="229"/>
      <c r="H1656" s="229"/>
      <c r="I1656" s="229"/>
      <c r="J1656" s="229"/>
      <c r="K1656" s="229"/>
      <c r="L1656" s="229"/>
      <c r="M1656" s="229"/>
      <c r="N1656" s="232"/>
    </row>
    <row r="1657" hidden="1" spans="1:14">
      <c r="A1657" s="235"/>
      <c r="B1657" s="230" t="s">
        <v>1028</v>
      </c>
      <c r="C1657" s="229">
        <v>313.2</v>
      </c>
      <c r="D1657" s="229">
        <v>313.2</v>
      </c>
      <c r="E1657" s="229">
        <v>313.2</v>
      </c>
      <c r="F1657" s="229"/>
      <c r="G1657" s="229"/>
      <c r="H1657" s="229"/>
      <c r="I1657" s="229"/>
      <c r="J1657" s="229"/>
      <c r="K1657" s="229"/>
      <c r="L1657" s="229"/>
      <c r="M1657" s="229"/>
      <c r="N1657" s="232"/>
    </row>
    <row r="1658" hidden="1" spans="1:14">
      <c r="A1658" s="235"/>
      <c r="B1658" s="230" t="s">
        <v>1042</v>
      </c>
      <c r="C1658" s="229">
        <v>0.17</v>
      </c>
      <c r="D1658" s="229">
        <v>0.17</v>
      </c>
      <c r="E1658" s="229">
        <v>0.17</v>
      </c>
      <c r="F1658" s="229"/>
      <c r="G1658" s="229"/>
      <c r="H1658" s="229"/>
      <c r="I1658" s="229"/>
      <c r="J1658" s="229"/>
      <c r="K1658" s="229"/>
      <c r="L1658" s="229"/>
      <c r="M1658" s="229"/>
      <c r="N1658" s="232"/>
    </row>
    <row r="1659" hidden="1" spans="1:14">
      <c r="A1659" s="235"/>
      <c r="B1659" s="230" t="s">
        <v>1035</v>
      </c>
      <c r="C1659" s="229">
        <v>26.1</v>
      </c>
      <c r="D1659" s="229">
        <v>26.1</v>
      </c>
      <c r="E1659" s="229">
        <v>26.1</v>
      </c>
      <c r="F1659" s="229"/>
      <c r="G1659" s="229"/>
      <c r="H1659" s="229"/>
      <c r="I1659" s="229"/>
      <c r="J1659" s="229"/>
      <c r="K1659" s="229"/>
      <c r="L1659" s="229"/>
      <c r="M1659" s="229"/>
      <c r="N1659" s="232"/>
    </row>
    <row r="1660" hidden="1" spans="1:14">
      <c r="A1660" s="235"/>
      <c r="B1660" s="230" t="s">
        <v>1036</v>
      </c>
      <c r="C1660" s="229">
        <v>356.760145</v>
      </c>
      <c r="D1660" s="229">
        <v>356.760145</v>
      </c>
      <c r="E1660" s="229">
        <v>356.760145</v>
      </c>
      <c r="F1660" s="229"/>
      <c r="G1660" s="229"/>
      <c r="H1660" s="229"/>
      <c r="I1660" s="229"/>
      <c r="J1660" s="229"/>
      <c r="K1660" s="229"/>
      <c r="L1660" s="229"/>
      <c r="M1660" s="229"/>
      <c r="N1660" s="232"/>
    </row>
    <row r="1661" hidden="1" spans="1:14">
      <c r="A1661" s="235"/>
      <c r="B1661" s="230" t="s">
        <v>1027</v>
      </c>
      <c r="C1661" s="229">
        <v>2</v>
      </c>
      <c r="D1661" s="229">
        <v>2</v>
      </c>
      <c r="E1661" s="229">
        <v>2</v>
      </c>
      <c r="F1661" s="229"/>
      <c r="G1661" s="229"/>
      <c r="H1661" s="229"/>
      <c r="I1661" s="229"/>
      <c r="J1661" s="229"/>
      <c r="K1661" s="229"/>
      <c r="L1661" s="229"/>
      <c r="M1661" s="229"/>
      <c r="N1661" s="232"/>
    </row>
    <row r="1662" hidden="1" spans="1:14">
      <c r="A1662" s="235"/>
      <c r="B1662" s="230" t="s">
        <v>1029</v>
      </c>
      <c r="C1662" s="229">
        <v>318.686</v>
      </c>
      <c r="D1662" s="229">
        <v>318.686</v>
      </c>
      <c r="E1662" s="229">
        <v>318.686</v>
      </c>
      <c r="F1662" s="229"/>
      <c r="G1662" s="229"/>
      <c r="H1662" s="229"/>
      <c r="I1662" s="229"/>
      <c r="J1662" s="229"/>
      <c r="K1662" s="229"/>
      <c r="L1662" s="229"/>
      <c r="M1662" s="229"/>
      <c r="N1662" s="232"/>
    </row>
    <row r="1663" hidden="1" spans="1:14">
      <c r="A1663" s="235"/>
      <c r="B1663" s="230" t="s">
        <v>1032</v>
      </c>
      <c r="C1663" s="229">
        <v>3102.340812</v>
      </c>
      <c r="D1663" s="229">
        <v>3102.340812</v>
      </c>
      <c r="E1663" s="229">
        <v>3029.890812</v>
      </c>
      <c r="F1663" s="229">
        <v>72.45</v>
      </c>
      <c r="G1663" s="229"/>
      <c r="H1663" s="229"/>
      <c r="I1663" s="229"/>
      <c r="J1663" s="229"/>
      <c r="K1663" s="229"/>
      <c r="L1663" s="229"/>
      <c r="M1663" s="229"/>
      <c r="N1663" s="232"/>
    </row>
    <row r="1664" hidden="1" spans="1:14">
      <c r="A1664" s="235"/>
      <c r="B1664" s="230" t="s">
        <v>1033</v>
      </c>
      <c r="C1664" s="229">
        <v>622.511831</v>
      </c>
      <c r="D1664" s="229">
        <v>622.511831</v>
      </c>
      <c r="E1664" s="229">
        <v>622.511831</v>
      </c>
      <c r="F1664" s="229"/>
      <c r="G1664" s="229"/>
      <c r="H1664" s="229"/>
      <c r="I1664" s="229"/>
      <c r="J1664" s="229"/>
      <c r="K1664" s="229"/>
      <c r="L1664" s="229"/>
      <c r="M1664" s="229"/>
      <c r="N1664" s="232"/>
    </row>
    <row r="1665" hidden="1" spans="1:14">
      <c r="A1665" s="235"/>
      <c r="B1665" s="230" t="s">
        <v>1038</v>
      </c>
      <c r="C1665" s="229">
        <v>2.624</v>
      </c>
      <c r="D1665" s="229">
        <v>2.624</v>
      </c>
      <c r="E1665" s="229">
        <v>2.624</v>
      </c>
      <c r="F1665" s="229"/>
      <c r="G1665" s="229"/>
      <c r="H1665" s="229"/>
      <c r="I1665" s="229"/>
      <c r="J1665" s="229"/>
      <c r="K1665" s="229"/>
      <c r="L1665" s="229"/>
      <c r="M1665" s="229"/>
      <c r="N1665" s="232"/>
    </row>
    <row r="1666" spans="1:14">
      <c r="A1666" s="227" t="s">
        <v>1130</v>
      </c>
      <c r="B1666" s="231" t="s">
        <v>778</v>
      </c>
      <c r="C1666" s="229">
        <v>6498.064521</v>
      </c>
      <c r="D1666" s="229">
        <v>6498.064521</v>
      </c>
      <c r="E1666" s="229">
        <v>6402.194521</v>
      </c>
      <c r="F1666" s="229">
        <v>95.87</v>
      </c>
      <c r="G1666" s="229"/>
      <c r="H1666" s="229"/>
      <c r="I1666" s="229"/>
      <c r="J1666" s="229"/>
      <c r="K1666" s="229"/>
      <c r="L1666" s="229"/>
      <c r="M1666" s="229"/>
      <c r="N1666" s="233" t="s">
        <v>578</v>
      </c>
    </row>
    <row r="1667" hidden="1" spans="1:14">
      <c r="A1667" s="235"/>
      <c r="B1667" s="230" t="s">
        <v>1039</v>
      </c>
      <c r="C1667" s="229">
        <v>47.250092</v>
      </c>
      <c r="D1667" s="229">
        <v>47.250092</v>
      </c>
      <c r="E1667" s="229">
        <v>47.250092</v>
      </c>
      <c r="F1667" s="229"/>
      <c r="G1667" s="229"/>
      <c r="H1667" s="229"/>
      <c r="I1667" s="229"/>
      <c r="J1667" s="229"/>
      <c r="K1667" s="229"/>
      <c r="L1667" s="229"/>
      <c r="M1667" s="229"/>
      <c r="N1667" s="232"/>
    </row>
    <row r="1668" hidden="1" spans="1:14">
      <c r="A1668" s="235"/>
      <c r="B1668" s="230" t="s">
        <v>1033</v>
      </c>
      <c r="C1668" s="229">
        <v>817.839635</v>
      </c>
      <c r="D1668" s="229">
        <v>817.839635</v>
      </c>
      <c r="E1668" s="229">
        <v>817.839635</v>
      </c>
      <c r="F1668" s="229"/>
      <c r="G1668" s="229"/>
      <c r="H1668" s="229"/>
      <c r="I1668" s="229"/>
      <c r="J1668" s="229"/>
      <c r="K1668" s="229"/>
      <c r="L1668" s="229"/>
      <c r="M1668" s="229"/>
      <c r="N1668" s="232"/>
    </row>
    <row r="1669" hidden="1" spans="1:14">
      <c r="A1669" s="235"/>
      <c r="B1669" s="230" t="s">
        <v>1037</v>
      </c>
      <c r="C1669" s="229">
        <v>38.40298</v>
      </c>
      <c r="D1669" s="229">
        <v>38.40298</v>
      </c>
      <c r="E1669" s="229">
        <v>38.40298</v>
      </c>
      <c r="F1669" s="229"/>
      <c r="G1669" s="229"/>
      <c r="H1669" s="229"/>
      <c r="I1669" s="229"/>
      <c r="J1669" s="229"/>
      <c r="K1669" s="229"/>
      <c r="L1669" s="229"/>
      <c r="M1669" s="229"/>
      <c r="N1669" s="232"/>
    </row>
    <row r="1670" hidden="1" spans="1:14">
      <c r="A1670" s="235"/>
      <c r="B1670" s="230" t="s">
        <v>1034</v>
      </c>
      <c r="C1670" s="229">
        <v>99.45</v>
      </c>
      <c r="D1670" s="229">
        <v>99.45</v>
      </c>
      <c r="E1670" s="229">
        <v>99.45</v>
      </c>
      <c r="F1670" s="229"/>
      <c r="G1670" s="229"/>
      <c r="H1670" s="229"/>
      <c r="I1670" s="229"/>
      <c r="J1670" s="229"/>
      <c r="K1670" s="229"/>
      <c r="L1670" s="229"/>
      <c r="M1670" s="229"/>
      <c r="N1670" s="232"/>
    </row>
    <row r="1671" hidden="1" spans="1:14">
      <c r="A1671" s="235"/>
      <c r="B1671" s="230" t="s">
        <v>1028</v>
      </c>
      <c r="C1671" s="229">
        <v>430.8</v>
      </c>
      <c r="D1671" s="229">
        <v>430.8</v>
      </c>
      <c r="E1671" s="229">
        <v>430.8</v>
      </c>
      <c r="F1671" s="229"/>
      <c r="G1671" s="229"/>
      <c r="H1671" s="229"/>
      <c r="I1671" s="229"/>
      <c r="J1671" s="229"/>
      <c r="K1671" s="229"/>
      <c r="L1671" s="229"/>
      <c r="M1671" s="229"/>
      <c r="N1671" s="232"/>
    </row>
    <row r="1672" hidden="1" spans="1:14">
      <c r="A1672" s="235"/>
      <c r="B1672" s="230" t="s">
        <v>1042</v>
      </c>
      <c r="C1672" s="229">
        <v>0.34</v>
      </c>
      <c r="D1672" s="229">
        <v>0.34</v>
      </c>
      <c r="E1672" s="229">
        <v>0.34</v>
      </c>
      <c r="F1672" s="229"/>
      <c r="G1672" s="229"/>
      <c r="H1672" s="229"/>
      <c r="I1672" s="229"/>
      <c r="J1672" s="229"/>
      <c r="K1672" s="229"/>
      <c r="L1672" s="229"/>
      <c r="M1672" s="229"/>
      <c r="N1672" s="232"/>
    </row>
    <row r="1673" hidden="1" spans="1:14">
      <c r="A1673" s="235"/>
      <c r="B1673" s="230" t="s">
        <v>1035</v>
      </c>
      <c r="C1673" s="229">
        <v>35.9</v>
      </c>
      <c r="D1673" s="229">
        <v>35.9</v>
      </c>
      <c r="E1673" s="229">
        <v>35.9</v>
      </c>
      <c r="F1673" s="229"/>
      <c r="G1673" s="229"/>
      <c r="H1673" s="229"/>
      <c r="I1673" s="229"/>
      <c r="J1673" s="229"/>
      <c r="K1673" s="229"/>
      <c r="L1673" s="229"/>
      <c r="M1673" s="229"/>
      <c r="N1673" s="232"/>
    </row>
    <row r="1674" hidden="1" spans="1:14">
      <c r="A1674" s="235"/>
      <c r="B1674" s="230" t="s">
        <v>1036</v>
      </c>
      <c r="C1674" s="229">
        <v>469.945994</v>
      </c>
      <c r="D1674" s="229">
        <v>469.945994</v>
      </c>
      <c r="E1674" s="229">
        <v>469.945994</v>
      </c>
      <c r="F1674" s="229"/>
      <c r="G1674" s="229"/>
      <c r="H1674" s="229"/>
      <c r="I1674" s="229"/>
      <c r="J1674" s="229"/>
      <c r="K1674" s="229"/>
      <c r="L1674" s="229"/>
      <c r="M1674" s="229"/>
      <c r="N1674" s="232"/>
    </row>
    <row r="1675" hidden="1" spans="1:14">
      <c r="A1675" s="235"/>
      <c r="B1675" s="230" t="s">
        <v>1027</v>
      </c>
      <c r="C1675" s="229">
        <v>2</v>
      </c>
      <c r="D1675" s="229">
        <v>2</v>
      </c>
      <c r="E1675" s="229">
        <v>2</v>
      </c>
      <c r="F1675" s="229"/>
      <c r="G1675" s="229"/>
      <c r="H1675" s="229"/>
      <c r="I1675" s="229"/>
      <c r="J1675" s="229"/>
      <c r="K1675" s="229"/>
      <c r="L1675" s="229"/>
      <c r="M1675" s="229"/>
      <c r="N1675" s="232"/>
    </row>
    <row r="1676" hidden="1" spans="1:14">
      <c r="A1676" s="235"/>
      <c r="B1676" s="230" t="s">
        <v>1029</v>
      </c>
      <c r="C1676" s="229">
        <v>492.708</v>
      </c>
      <c r="D1676" s="229">
        <v>492.708</v>
      </c>
      <c r="E1676" s="229">
        <v>492.708</v>
      </c>
      <c r="F1676" s="229"/>
      <c r="G1676" s="229"/>
      <c r="H1676" s="229"/>
      <c r="I1676" s="229"/>
      <c r="J1676" s="229"/>
      <c r="K1676" s="229"/>
      <c r="L1676" s="229"/>
      <c r="M1676" s="229"/>
      <c r="N1676" s="232"/>
    </row>
    <row r="1677" hidden="1" spans="1:14">
      <c r="A1677" s="235"/>
      <c r="B1677" s="230" t="s">
        <v>1032</v>
      </c>
      <c r="C1677" s="229">
        <v>4063.27982</v>
      </c>
      <c r="D1677" s="229">
        <v>4063.27982</v>
      </c>
      <c r="E1677" s="229">
        <v>3967.40982</v>
      </c>
      <c r="F1677" s="229">
        <v>95.87</v>
      </c>
      <c r="G1677" s="229"/>
      <c r="H1677" s="229"/>
      <c r="I1677" s="229"/>
      <c r="J1677" s="229"/>
      <c r="K1677" s="229"/>
      <c r="L1677" s="229"/>
      <c r="M1677" s="229"/>
      <c r="N1677" s="232"/>
    </row>
    <row r="1678" hidden="1" spans="1:14">
      <c r="A1678" s="235"/>
      <c r="B1678" s="230" t="s">
        <v>1038</v>
      </c>
      <c r="C1678" s="229">
        <v>0.148</v>
      </c>
      <c r="D1678" s="229">
        <v>0.148</v>
      </c>
      <c r="E1678" s="229">
        <v>0.148</v>
      </c>
      <c r="F1678" s="229"/>
      <c r="G1678" s="229"/>
      <c r="H1678" s="229"/>
      <c r="I1678" s="229"/>
      <c r="J1678" s="229"/>
      <c r="K1678" s="229"/>
      <c r="L1678" s="229"/>
      <c r="M1678" s="229"/>
      <c r="N1678" s="232"/>
    </row>
    <row r="1679" spans="1:14">
      <c r="A1679" s="227" t="s">
        <v>1131</v>
      </c>
      <c r="B1679" s="231" t="s">
        <v>779</v>
      </c>
      <c r="C1679" s="229">
        <v>3208.652894</v>
      </c>
      <c r="D1679" s="229">
        <v>3208.652894</v>
      </c>
      <c r="E1679" s="229">
        <v>3201.484894</v>
      </c>
      <c r="F1679" s="229">
        <v>7.168</v>
      </c>
      <c r="G1679" s="229"/>
      <c r="H1679" s="229"/>
      <c r="I1679" s="229"/>
      <c r="J1679" s="229"/>
      <c r="K1679" s="229"/>
      <c r="L1679" s="229"/>
      <c r="M1679" s="229"/>
      <c r="N1679" s="233" t="s">
        <v>578</v>
      </c>
    </row>
    <row r="1680" hidden="1" spans="1:14">
      <c r="A1680" s="235"/>
      <c r="B1680" s="230" t="s">
        <v>1039</v>
      </c>
      <c r="C1680" s="229">
        <v>24.337584</v>
      </c>
      <c r="D1680" s="229">
        <v>24.337584</v>
      </c>
      <c r="E1680" s="229">
        <v>24.337584</v>
      </c>
      <c r="F1680" s="229"/>
      <c r="G1680" s="229"/>
      <c r="H1680" s="229"/>
      <c r="I1680" s="229"/>
      <c r="J1680" s="229"/>
      <c r="K1680" s="229"/>
      <c r="L1680" s="229"/>
      <c r="M1680" s="229"/>
      <c r="N1680" s="232"/>
    </row>
    <row r="1681" hidden="1" spans="1:14">
      <c r="A1681" s="235"/>
      <c r="B1681" s="230" t="s">
        <v>1033</v>
      </c>
      <c r="C1681" s="229">
        <v>412.879038</v>
      </c>
      <c r="D1681" s="229">
        <v>412.879038</v>
      </c>
      <c r="E1681" s="229">
        <v>412.879038</v>
      </c>
      <c r="F1681" s="229"/>
      <c r="G1681" s="229"/>
      <c r="H1681" s="229"/>
      <c r="I1681" s="229"/>
      <c r="J1681" s="229"/>
      <c r="K1681" s="229"/>
      <c r="L1681" s="229"/>
      <c r="M1681" s="229"/>
      <c r="N1681" s="232"/>
    </row>
    <row r="1682" hidden="1" spans="1:14">
      <c r="A1682" s="235"/>
      <c r="B1682" s="230" t="s">
        <v>1037</v>
      </c>
      <c r="C1682" s="229">
        <v>4.98</v>
      </c>
      <c r="D1682" s="229">
        <v>4.98</v>
      </c>
      <c r="E1682" s="229">
        <v>4.98</v>
      </c>
      <c r="F1682" s="229"/>
      <c r="G1682" s="229"/>
      <c r="H1682" s="229"/>
      <c r="I1682" s="229"/>
      <c r="J1682" s="229"/>
      <c r="K1682" s="229"/>
      <c r="L1682" s="229"/>
      <c r="M1682" s="229"/>
      <c r="N1682" s="232"/>
    </row>
    <row r="1683" hidden="1" spans="1:14">
      <c r="A1683" s="235"/>
      <c r="B1683" s="230" t="s">
        <v>1028</v>
      </c>
      <c r="C1683" s="229">
        <v>199.2</v>
      </c>
      <c r="D1683" s="229">
        <v>199.2</v>
      </c>
      <c r="E1683" s="229">
        <v>199.2</v>
      </c>
      <c r="F1683" s="229"/>
      <c r="G1683" s="229"/>
      <c r="H1683" s="229"/>
      <c r="I1683" s="229"/>
      <c r="J1683" s="229"/>
      <c r="K1683" s="229"/>
      <c r="L1683" s="229"/>
      <c r="M1683" s="229"/>
      <c r="N1683" s="232"/>
    </row>
    <row r="1684" hidden="1" spans="1:14">
      <c r="A1684" s="235"/>
      <c r="B1684" s="230" t="s">
        <v>1035</v>
      </c>
      <c r="C1684" s="229">
        <v>16.6</v>
      </c>
      <c r="D1684" s="229">
        <v>16.6</v>
      </c>
      <c r="E1684" s="229">
        <v>16.6</v>
      </c>
      <c r="F1684" s="229"/>
      <c r="G1684" s="229"/>
      <c r="H1684" s="229"/>
      <c r="I1684" s="229"/>
      <c r="J1684" s="229"/>
      <c r="K1684" s="229"/>
      <c r="L1684" s="229"/>
      <c r="M1684" s="229"/>
      <c r="N1684" s="232"/>
    </row>
    <row r="1685" hidden="1" spans="1:14">
      <c r="A1685" s="235"/>
      <c r="B1685" s="230" t="s">
        <v>1036</v>
      </c>
      <c r="C1685" s="229">
        <v>244.403172</v>
      </c>
      <c r="D1685" s="229">
        <v>244.403172</v>
      </c>
      <c r="E1685" s="229">
        <v>244.403172</v>
      </c>
      <c r="F1685" s="229"/>
      <c r="G1685" s="229"/>
      <c r="H1685" s="229"/>
      <c r="I1685" s="229"/>
      <c r="J1685" s="229"/>
      <c r="K1685" s="229"/>
      <c r="L1685" s="229"/>
      <c r="M1685" s="229"/>
      <c r="N1685" s="232"/>
    </row>
    <row r="1686" hidden="1" spans="1:14">
      <c r="A1686" s="235"/>
      <c r="B1686" s="230" t="s">
        <v>1027</v>
      </c>
      <c r="C1686" s="229">
        <v>4</v>
      </c>
      <c r="D1686" s="229">
        <v>4</v>
      </c>
      <c r="E1686" s="229">
        <v>4</v>
      </c>
      <c r="F1686" s="229"/>
      <c r="G1686" s="229"/>
      <c r="H1686" s="229"/>
      <c r="I1686" s="229"/>
      <c r="J1686" s="229"/>
      <c r="K1686" s="229"/>
      <c r="L1686" s="229"/>
      <c r="M1686" s="229"/>
      <c r="N1686" s="232"/>
    </row>
    <row r="1687" hidden="1" spans="1:14">
      <c r="A1687" s="235"/>
      <c r="B1687" s="230" t="s">
        <v>1029</v>
      </c>
      <c r="C1687" s="229">
        <v>203.414</v>
      </c>
      <c r="D1687" s="229">
        <v>203.414</v>
      </c>
      <c r="E1687" s="229">
        <v>203.414</v>
      </c>
      <c r="F1687" s="229"/>
      <c r="G1687" s="229"/>
      <c r="H1687" s="229"/>
      <c r="I1687" s="229"/>
      <c r="J1687" s="229"/>
      <c r="K1687" s="229"/>
      <c r="L1687" s="229"/>
      <c r="M1687" s="229"/>
      <c r="N1687" s="232"/>
    </row>
    <row r="1688" hidden="1" spans="1:14">
      <c r="A1688" s="235"/>
      <c r="B1688" s="230" t="s">
        <v>1032</v>
      </c>
      <c r="C1688" s="229">
        <v>2077.2091</v>
      </c>
      <c r="D1688" s="229">
        <v>2077.2091</v>
      </c>
      <c r="E1688" s="229">
        <v>2070.0411</v>
      </c>
      <c r="F1688" s="229">
        <v>7.168</v>
      </c>
      <c r="G1688" s="229"/>
      <c r="H1688" s="229"/>
      <c r="I1688" s="229"/>
      <c r="J1688" s="229"/>
      <c r="K1688" s="229"/>
      <c r="L1688" s="229"/>
      <c r="M1688" s="229"/>
      <c r="N1688" s="232"/>
    </row>
    <row r="1689" hidden="1" spans="1:14">
      <c r="A1689" s="235"/>
      <c r="B1689" s="230" t="s">
        <v>1034</v>
      </c>
      <c r="C1689" s="229">
        <v>20.28</v>
      </c>
      <c r="D1689" s="229">
        <v>20.28</v>
      </c>
      <c r="E1689" s="229">
        <v>20.28</v>
      </c>
      <c r="F1689" s="229"/>
      <c r="G1689" s="229"/>
      <c r="H1689" s="229"/>
      <c r="I1689" s="229"/>
      <c r="J1689" s="229"/>
      <c r="K1689" s="229"/>
      <c r="L1689" s="229"/>
      <c r="M1689" s="229"/>
      <c r="N1689" s="232"/>
    </row>
    <row r="1690" hidden="1" spans="1:14">
      <c r="A1690" s="235"/>
      <c r="B1690" s="230" t="s">
        <v>1038</v>
      </c>
      <c r="C1690" s="229">
        <v>1.35</v>
      </c>
      <c r="D1690" s="229">
        <v>1.35</v>
      </c>
      <c r="E1690" s="229">
        <v>1.35</v>
      </c>
      <c r="F1690" s="229"/>
      <c r="G1690" s="229"/>
      <c r="H1690" s="229"/>
      <c r="I1690" s="229"/>
      <c r="J1690" s="229"/>
      <c r="K1690" s="229"/>
      <c r="L1690" s="229"/>
      <c r="M1690" s="229"/>
      <c r="N1690" s="232"/>
    </row>
    <row r="1691" spans="1:14">
      <c r="A1691" s="227" t="s">
        <v>1132</v>
      </c>
      <c r="B1691" s="231" t="s">
        <v>780</v>
      </c>
      <c r="C1691" s="229">
        <v>3617.999725</v>
      </c>
      <c r="D1691" s="229">
        <v>3617.999725</v>
      </c>
      <c r="E1691" s="229">
        <v>3577.999725</v>
      </c>
      <c r="F1691" s="229">
        <v>40</v>
      </c>
      <c r="G1691" s="229"/>
      <c r="H1691" s="229"/>
      <c r="I1691" s="229"/>
      <c r="J1691" s="229"/>
      <c r="K1691" s="229"/>
      <c r="L1691" s="229"/>
      <c r="M1691" s="229"/>
      <c r="N1691" s="233" t="s">
        <v>578</v>
      </c>
    </row>
    <row r="1692" hidden="1" spans="1:14">
      <c r="A1692" s="235"/>
      <c r="B1692" s="230" t="s">
        <v>1039</v>
      </c>
      <c r="C1692" s="229">
        <v>26.882613</v>
      </c>
      <c r="D1692" s="229">
        <v>26.882613</v>
      </c>
      <c r="E1692" s="229">
        <v>26.882613</v>
      </c>
      <c r="F1692" s="229"/>
      <c r="G1692" s="229"/>
      <c r="H1692" s="229"/>
      <c r="I1692" s="229"/>
      <c r="J1692" s="229"/>
      <c r="K1692" s="229"/>
      <c r="L1692" s="229"/>
      <c r="M1692" s="229"/>
      <c r="N1692" s="232"/>
    </row>
    <row r="1693" hidden="1" spans="1:14">
      <c r="A1693" s="235"/>
      <c r="B1693" s="230" t="s">
        <v>1033</v>
      </c>
      <c r="C1693" s="229">
        <v>460.112103</v>
      </c>
      <c r="D1693" s="229">
        <v>460.112103</v>
      </c>
      <c r="E1693" s="229">
        <v>460.112103</v>
      </c>
      <c r="F1693" s="229"/>
      <c r="G1693" s="229"/>
      <c r="H1693" s="229"/>
      <c r="I1693" s="229"/>
      <c r="J1693" s="229"/>
      <c r="K1693" s="229"/>
      <c r="L1693" s="229"/>
      <c r="M1693" s="229"/>
      <c r="N1693" s="232"/>
    </row>
    <row r="1694" hidden="1" spans="1:14">
      <c r="A1694" s="235"/>
      <c r="B1694" s="230" t="s">
        <v>1037</v>
      </c>
      <c r="C1694" s="229">
        <v>5.58</v>
      </c>
      <c r="D1694" s="229">
        <v>5.58</v>
      </c>
      <c r="E1694" s="229">
        <v>5.58</v>
      </c>
      <c r="F1694" s="229"/>
      <c r="G1694" s="229"/>
      <c r="H1694" s="229"/>
      <c r="I1694" s="229"/>
      <c r="J1694" s="229"/>
      <c r="K1694" s="229"/>
      <c r="L1694" s="229"/>
      <c r="M1694" s="229"/>
      <c r="N1694" s="232"/>
    </row>
    <row r="1695" hidden="1" spans="1:14">
      <c r="A1695" s="235"/>
      <c r="B1695" s="230" t="s">
        <v>1034</v>
      </c>
      <c r="C1695" s="229">
        <v>55.77</v>
      </c>
      <c r="D1695" s="229">
        <v>55.77</v>
      </c>
      <c r="E1695" s="229">
        <v>55.77</v>
      </c>
      <c r="F1695" s="229"/>
      <c r="G1695" s="229"/>
      <c r="H1695" s="229"/>
      <c r="I1695" s="229"/>
      <c r="J1695" s="229"/>
      <c r="K1695" s="229"/>
      <c r="L1695" s="229"/>
      <c r="M1695" s="229"/>
      <c r="N1695" s="232"/>
    </row>
    <row r="1696" hidden="1" spans="1:14">
      <c r="A1696" s="235"/>
      <c r="B1696" s="230" t="s">
        <v>1028</v>
      </c>
      <c r="C1696" s="229">
        <v>223.2</v>
      </c>
      <c r="D1696" s="229">
        <v>223.2</v>
      </c>
      <c r="E1696" s="229">
        <v>223.2</v>
      </c>
      <c r="F1696" s="229"/>
      <c r="G1696" s="229"/>
      <c r="H1696" s="229"/>
      <c r="I1696" s="229"/>
      <c r="J1696" s="229"/>
      <c r="K1696" s="229"/>
      <c r="L1696" s="229"/>
      <c r="M1696" s="229"/>
      <c r="N1696" s="232"/>
    </row>
    <row r="1697" hidden="1" spans="1:14">
      <c r="A1697" s="235"/>
      <c r="B1697" s="230" t="s">
        <v>1035</v>
      </c>
      <c r="C1697" s="229">
        <v>18.6</v>
      </c>
      <c r="D1697" s="229">
        <v>18.6</v>
      </c>
      <c r="E1697" s="229">
        <v>18.6</v>
      </c>
      <c r="F1697" s="229"/>
      <c r="G1697" s="229"/>
      <c r="H1697" s="229"/>
      <c r="I1697" s="229"/>
      <c r="J1697" s="229"/>
      <c r="K1697" s="229"/>
      <c r="L1697" s="229"/>
      <c r="M1697" s="229"/>
      <c r="N1697" s="232"/>
    </row>
    <row r="1698" hidden="1" spans="1:14">
      <c r="A1698" s="235"/>
      <c r="B1698" s="230" t="s">
        <v>1036</v>
      </c>
      <c r="C1698" s="229">
        <v>265.281065</v>
      </c>
      <c r="D1698" s="229">
        <v>265.281065</v>
      </c>
      <c r="E1698" s="229">
        <v>265.281065</v>
      </c>
      <c r="F1698" s="229"/>
      <c r="G1698" s="229"/>
      <c r="H1698" s="229"/>
      <c r="I1698" s="229"/>
      <c r="J1698" s="229"/>
      <c r="K1698" s="229"/>
      <c r="L1698" s="229"/>
      <c r="M1698" s="229"/>
      <c r="N1698" s="232"/>
    </row>
    <row r="1699" hidden="1" spans="1:14">
      <c r="A1699" s="235"/>
      <c r="B1699" s="230" t="s">
        <v>1027</v>
      </c>
      <c r="C1699" s="229">
        <v>6</v>
      </c>
      <c r="D1699" s="229">
        <v>6</v>
      </c>
      <c r="E1699" s="229">
        <v>6</v>
      </c>
      <c r="F1699" s="229"/>
      <c r="G1699" s="229"/>
      <c r="H1699" s="229"/>
      <c r="I1699" s="229"/>
      <c r="J1699" s="229"/>
      <c r="K1699" s="229"/>
      <c r="L1699" s="229"/>
      <c r="M1699" s="229"/>
      <c r="N1699" s="232"/>
    </row>
    <row r="1700" hidden="1" spans="1:14">
      <c r="A1700" s="235"/>
      <c r="B1700" s="230" t="s">
        <v>1029</v>
      </c>
      <c r="C1700" s="229">
        <v>266.218</v>
      </c>
      <c r="D1700" s="229">
        <v>266.218</v>
      </c>
      <c r="E1700" s="229">
        <v>266.218</v>
      </c>
      <c r="F1700" s="229"/>
      <c r="G1700" s="229"/>
      <c r="H1700" s="229"/>
      <c r="I1700" s="229"/>
      <c r="J1700" s="229"/>
      <c r="K1700" s="229"/>
      <c r="L1700" s="229"/>
      <c r="M1700" s="229"/>
      <c r="N1700" s="232"/>
    </row>
    <row r="1701" hidden="1" spans="1:14">
      <c r="A1701" s="235"/>
      <c r="B1701" s="230" t="s">
        <v>1032</v>
      </c>
      <c r="C1701" s="229">
        <v>2289.395944</v>
      </c>
      <c r="D1701" s="229">
        <v>2289.395944</v>
      </c>
      <c r="E1701" s="229">
        <v>2249.395944</v>
      </c>
      <c r="F1701" s="229">
        <v>40</v>
      </c>
      <c r="G1701" s="229"/>
      <c r="H1701" s="229"/>
      <c r="I1701" s="229"/>
      <c r="J1701" s="229"/>
      <c r="K1701" s="229"/>
      <c r="L1701" s="229"/>
      <c r="M1701" s="229"/>
      <c r="N1701" s="232"/>
    </row>
    <row r="1702" hidden="1" spans="1:14">
      <c r="A1702" s="235"/>
      <c r="B1702" s="230" t="s">
        <v>1038</v>
      </c>
      <c r="C1702" s="229">
        <v>0.96</v>
      </c>
      <c r="D1702" s="229">
        <v>0.96</v>
      </c>
      <c r="E1702" s="229">
        <v>0.96</v>
      </c>
      <c r="F1702" s="229"/>
      <c r="G1702" s="229"/>
      <c r="H1702" s="229"/>
      <c r="I1702" s="229"/>
      <c r="J1702" s="229"/>
      <c r="K1702" s="229"/>
      <c r="L1702" s="229"/>
      <c r="M1702" s="229"/>
      <c r="N1702" s="232"/>
    </row>
    <row r="1703" spans="1:14">
      <c r="A1703" s="227" t="s">
        <v>1133</v>
      </c>
      <c r="B1703" s="231" t="s">
        <v>781</v>
      </c>
      <c r="C1703" s="229">
        <v>6004.741638</v>
      </c>
      <c r="D1703" s="229">
        <v>6004.741638</v>
      </c>
      <c r="E1703" s="229">
        <v>5994.643638</v>
      </c>
      <c r="F1703" s="229">
        <v>10.098</v>
      </c>
      <c r="G1703" s="229"/>
      <c r="H1703" s="229"/>
      <c r="I1703" s="229"/>
      <c r="J1703" s="229"/>
      <c r="K1703" s="229"/>
      <c r="L1703" s="229"/>
      <c r="M1703" s="229"/>
      <c r="N1703" s="233" t="s">
        <v>578</v>
      </c>
    </row>
    <row r="1704" hidden="1" spans="1:14">
      <c r="A1704" s="235"/>
      <c r="B1704" s="230" t="s">
        <v>1039</v>
      </c>
      <c r="C1704" s="229">
        <v>50.436332</v>
      </c>
      <c r="D1704" s="229">
        <v>50.436332</v>
      </c>
      <c r="E1704" s="229">
        <v>50.436332</v>
      </c>
      <c r="F1704" s="229"/>
      <c r="G1704" s="229"/>
      <c r="H1704" s="229"/>
      <c r="I1704" s="229"/>
      <c r="J1704" s="229"/>
      <c r="K1704" s="229"/>
      <c r="L1704" s="229"/>
      <c r="M1704" s="229"/>
      <c r="N1704" s="232"/>
    </row>
    <row r="1705" hidden="1" spans="1:14">
      <c r="A1705" s="235"/>
      <c r="B1705" s="230" t="s">
        <v>1033</v>
      </c>
      <c r="C1705" s="229">
        <v>870.806511</v>
      </c>
      <c r="D1705" s="229">
        <v>870.806511</v>
      </c>
      <c r="E1705" s="229">
        <v>870.806511</v>
      </c>
      <c r="F1705" s="229"/>
      <c r="G1705" s="229"/>
      <c r="H1705" s="229"/>
      <c r="I1705" s="229"/>
      <c r="J1705" s="229"/>
      <c r="K1705" s="229"/>
      <c r="L1705" s="229"/>
      <c r="M1705" s="229"/>
      <c r="N1705" s="232"/>
    </row>
    <row r="1706" hidden="1" spans="1:14">
      <c r="A1706" s="235"/>
      <c r="B1706" s="230" t="s">
        <v>1037</v>
      </c>
      <c r="C1706" s="229">
        <v>9.15</v>
      </c>
      <c r="D1706" s="229">
        <v>9.15</v>
      </c>
      <c r="E1706" s="229">
        <v>9.15</v>
      </c>
      <c r="F1706" s="229"/>
      <c r="G1706" s="229"/>
      <c r="H1706" s="229"/>
      <c r="I1706" s="229"/>
      <c r="J1706" s="229"/>
      <c r="K1706" s="229"/>
      <c r="L1706" s="229"/>
      <c r="M1706" s="229"/>
      <c r="N1706" s="232"/>
    </row>
    <row r="1707" hidden="1" spans="1:14">
      <c r="A1707" s="235"/>
      <c r="B1707" s="230" t="s">
        <v>1034</v>
      </c>
      <c r="C1707" s="229">
        <v>56.784</v>
      </c>
      <c r="D1707" s="229">
        <v>56.784</v>
      </c>
      <c r="E1707" s="229">
        <v>56.784</v>
      </c>
      <c r="F1707" s="229"/>
      <c r="G1707" s="229"/>
      <c r="H1707" s="229"/>
      <c r="I1707" s="229"/>
      <c r="J1707" s="229"/>
      <c r="K1707" s="229"/>
      <c r="L1707" s="229"/>
      <c r="M1707" s="229"/>
      <c r="N1707" s="232"/>
    </row>
    <row r="1708" hidden="1" spans="1:14">
      <c r="A1708" s="235"/>
      <c r="B1708" s="230" t="s">
        <v>1028</v>
      </c>
      <c r="C1708" s="229">
        <v>366</v>
      </c>
      <c r="D1708" s="229">
        <v>366</v>
      </c>
      <c r="E1708" s="229">
        <v>366</v>
      </c>
      <c r="F1708" s="229"/>
      <c r="G1708" s="229"/>
      <c r="H1708" s="229"/>
      <c r="I1708" s="229"/>
      <c r="J1708" s="229"/>
      <c r="K1708" s="229"/>
      <c r="L1708" s="229"/>
      <c r="M1708" s="229"/>
      <c r="N1708" s="232"/>
    </row>
    <row r="1709" hidden="1" spans="1:14">
      <c r="A1709" s="235"/>
      <c r="B1709" s="230" t="s">
        <v>1035</v>
      </c>
      <c r="C1709" s="229">
        <v>30.5</v>
      </c>
      <c r="D1709" s="229">
        <v>30.5</v>
      </c>
      <c r="E1709" s="229">
        <v>30.5</v>
      </c>
      <c r="F1709" s="229"/>
      <c r="G1709" s="229"/>
      <c r="H1709" s="229"/>
      <c r="I1709" s="229"/>
      <c r="J1709" s="229"/>
      <c r="K1709" s="229"/>
      <c r="L1709" s="229"/>
      <c r="M1709" s="229"/>
      <c r="N1709" s="232"/>
    </row>
    <row r="1710" hidden="1" spans="1:14">
      <c r="A1710" s="235"/>
      <c r="B1710" s="230" t="s">
        <v>1036</v>
      </c>
      <c r="C1710" s="229">
        <v>457.316485</v>
      </c>
      <c r="D1710" s="229">
        <v>457.316485</v>
      </c>
      <c r="E1710" s="229">
        <v>456.848485</v>
      </c>
      <c r="F1710" s="229">
        <v>0.468</v>
      </c>
      <c r="G1710" s="229"/>
      <c r="H1710" s="229"/>
      <c r="I1710" s="229"/>
      <c r="J1710" s="229"/>
      <c r="K1710" s="229"/>
      <c r="L1710" s="229"/>
      <c r="M1710" s="229"/>
      <c r="N1710" s="232"/>
    </row>
    <row r="1711" hidden="1" spans="1:14">
      <c r="A1711" s="235"/>
      <c r="B1711" s="230" t="s">
        <v>1027</v>
      </c>
      <c r="C1711" s="229">
        <v>2</v>
      </c>
      <c r="D1711" s="229">
        <v>2</v>
      </c>
      <c r="E1711" s="229">
        <v>2</v>
      </c>
      <c r="F1711" s="229"/>
      <c r="G1711" s="229"/>
      <c r="H1711" s="229"/>
      <c r="I1711" s="229"/>
      <c r="J1711" s="229"/>
      <c r="K1711" s="229"/>
      <c r="L1711" s="229"/>
      <c r="M1711" s="229"/>
      <c r="N1711" s="232"/>
    </row>
    <row r="1712" hidden="1" spans="1:14">
      <c r="A1712" s="235"/>
      <c r="B1712" s="230" t="s">
        <v>1029</v>
      </c>
      <c r="C1712" s="229">
        <v>269.318</v>
      </c>
      <c r="D1712" s="229">
        <v>269.318</v>
      </c>
      <c r="E1712" s="229">
        <v>263.588</v>
      </c>
      <c r="F1712" s="229">
        <v>5.73</v>
      </c>
      <c r="G1712" s="229"/>
      <c r="H1712" s="229"/>
      <c r="I1712" s="229"/>
      <c r="J1712" s="229"/>
      <c r="K1712" s="229"/>
      <c r="L1712" s="229"/>
      <c r="M1712" s="229"/>
      <c r="N1712" s="232"/>
    </row>
    <row r="1713" hidden="1" spans="1:14">
      <c r="A1713" s="235"/>
      <c r="B1713" s="230" t="s">
        <v>1032</v>
      </c>
      <c r="C1713" s="229">
        <v>3889.94031</v>
      </c>
      <c r="D1713" s="229">
        <v>3889.94031</v>
      </c>
      <c r="E1713" s="229">
        <v>3886.04031</v>
      </c>
      <c r="F1713" s="229">
        <v>3.9</v>
      </c>
      <c r="G1713" s="229"/>
      <c r="H1713" s="229"/>
      <c r="I1713" s="229"/>
      <c r="J1713" s="229"/>
      <c r="K1713" s="229"/>
      <c r="L1713" s="229"/>
      <c r="M1713" s="229"/>
      <c r="N1713" s="232"/>
    </row>
    <row r="1714" hidden="1" spans="1:14">
      <c r="A1714" s="235"/>
      <c r="B1714" s="230" t="s">
        <v>1038</v>
      </c>
      <c r="C1714" s="229">
        <v>2.49</v>
      </c>
      <c r="D1714" s="229">
        <v>2.49</v>
      </c>
      <c r="E1714" s="229">
        <v>2.49</v>
      </c>
      <c r="F1714" s="229"/>
      <c r="G1714" s="229"/>
      <c r="H1714" s="229"/>
      <c r="I1714" s="229"/>
      <c r="J1714" s="229"/>
      <c r="K1714" s="229"/>
      <c r="L1714" s="229"/>
      <c r="M1714" s="229"/>
      <c r="N1714" s="232"/>
    </row>
    <row r="1715" spans="1:14">
      <c r="A1715" s="227" t="s">
        <v>1134</v>
      </c>
      <c r="B1715" s="231" t="s">
        <v>782</v>
      </c>
      <c r="C1715" s="229">
        <v>4369.61317</v>
      </c>
      <c r="D1715" s="229">
        <v>4369.61317</v>
      </c>
      <c r="E1715" s="229">
        <v>4342.51317</v>
      </c>
      <c r="F1715" s="229">
        <v>27.1</v>
      </c>
      <c r="G1715" s="229"/>
      <c r="H1715" s="229"/>
      <c r="I1715" s="229"/>
      <c r="J1715" s="229"/>
      <c r="K1715" s="229"/>
      <c r="L1715" s="229"/>
      <c r="M1715" s="229"/>
      <c r="N1715" s="233" t="s">
        <v>578</v>
      </c>
    </row>
    <row r="1716" hidden="1" spans="1:14">
      <c r="A1716" s="235"/>
      <c r="B1716" s="230" t="s">
        <v>1033</v>
      </c>
      <c r="C1716" s="229">
        <v>592.2143</v>
      </c>
      <c r="D1716" s="229">
        <v>592.2143</v>
      </c>
      <c r="E1716" s="229">
        <v>592.2143</v>
      </c>
      <c r="F1716" s="229"/>
      <c r="G1716" s="229"/>
      <c r="H1716" s="229"/>
      <c r="I1716" s="229"/>
      <c r="J1716" s="229"/>
      <c r="K1716" s="229"/>
      <c r="L1716" s="229"/>
      <c r="M1716" s="229"/>
      <c r="N1716" s="232"/>
    </row>
    <row r="1717" hidden="1" spans="1:14">
      <c r="A1717" s="235"/>
      <c r="B1717" s="230" t="s">
        <v>1034</v>
      </c>
      <c r="C1717" s="229">
        <v>50.7</v>
      </c>
      <c r="D1717" s="229">
        <v>50.7</v>
      </c>
      <c r="E1717" s="229">
        <v>50.7</v>
      </c>
      <c r="F1717" s="229"/>
      <c r="G1717" s="229"/>
      <c r="H1717" s="229"/>
      <c r="I1717" s="229"/>
      <c r="J1717" s="229"/>
      <c r="K1717" s="229"/>
      <c r="L1717" s="229"/>
      <c r="M1717" s="229"/>
      <c r="N1717" s="232"/>
    </row>
    <row r="1718" hidden="1" spans="1:14">
      <c r="A1718" s="235"/>
      <c r="B1718" s="230" t="s">
        <v>1028</v>
      </c>
      <c r="C1718" s="229">
        <v>270</v>
      </c>
      <c r="D1718" s="229">
        <v>270</v>
      </c>
      <c r="E1718" s="229">
        <v>270</v>
      </c>
      <c r="F1718" s="229"/>
      <c r="G1718" s="229"/>
      <c r="H1718" s="229"/>
      <c r="I1718" s="229"/>
      <c r="J1718" s="229"/>
      <c r="K1718" s="229"/>
      <c r="L1718" s="229"/>
      <c r="M1718" s="229"/>
      <c r="N1718" s="232"/>
    </row>
    <row r="1719" hidden="1" spans="1:14">
      <c r="A1719" s="235"/>
      <c r="B1719" s="230" t="s">
        <v>1039</v>
      </c>
      <c r="C1719" s="229">
        <v>34.44437</v>
      </c>
      <c r="D1719" s="229">
        <v>34.44437</v>
      </c>
      <c r="E1719" s="229">
        <v>34.44437</v>
      </c>
      <c r="F1719" s="229"/>
      <c r="G1719" s="229"/>
      <c r="H1719" s="229"/>
      <c r="I1719" s="229"/>
      <c r="J1719" s="229"/>
      <c r="K1719" s="229"/>
      <c r="L1719" s="229"/>
      <c r="M1719" s="229"/>
      <c r="N1719" s="232"/>
    </row>
    <row r="1720" hidden="1" spans="1:14">
      <c r="A1720" s="235"/>
      <c r="B1720" s="230" t="s">
        <v>1035</v>
      </c>
      <c r="C1720" s="229">
        <v>22.5</v>
      </c>
      <c r="D1720" s="229">
        <v>22.5</v>
      </c>
      <c r="E1720" s="229">
        <v>22.5</v>
      </c>
      <c r="F1720" s="229"/>
      <c r="G1720" s="229"/>
      <c r="H1720" s="229"/>
      <c r="I1720" s="229"/>
      <c r="J1720" s="229"/>
      <c r="K1720" s="229"/>
      <c r="L1720" s="229"/>
      <c r="M1720" s="229"/>
      <c r="N1720" s="232"/>
    </row>
    <row r="1721" hidden="1" spans="1:14">
      <c r="A1721" s="235"/>
      <c r="B1721" s="230" t="s">
        <v>1037</v>
      </c>
      <c r="C1721" s="229">
        <v>6.75</v>
      </c>
      <c r="D1721" s="229">
        <v>6.75</v>
      </c>
      <c r="E1721" s="229">
        <v>6.75</v>
      </c>
      <c r="F1721" s="229"/>
      <c r="G1721" s="229"/>
      <c r="H1721" s="229"/>
      <c r="I1721" s="229"/>
      <c r="J1721" s="229"/>
      <c r="K1721" s="229"/>
      <c r="L1721" s="229"/>
      <c r="M1721" s="229"/>
      <c r="N1721" s="232"/>
    </row>
    <row r="1722" hidden="1" spans="1:14">
      <c r="A1722" s="235"/>
      <c r="B1722" s="230" t="s">
        <v>1027</v>
      </c>
      <c r="C1722" s="229">
        <v>2</v>
      </c>
      <c r="D1722" s="229">
        <v>2</v>
      </c>
      <c r="E1722" s="229">
        <v>2</v>
      </c>
      <c r="F1722" s="229"/>
      <c r="G1722" s="229"/>
      <c r="H1722" s="229"/>
      <c r="I1722" s="229"/>
      <c r="J1722" s="229"/>
      <c r="K1722" s="229"/>
      <c r="L1722" s="229"/>
      <c r="M1722" s="229"/>
      <c r="N1722" s="232"/>
    </row>
    <row r="1723" hidden="1" spans="1:14">
      <c r="A1723" s="235"/>
      <c r="B1723" s="230" t="s">
        <v>1036</v>
      </c>
      <c r="C1723" s="229">
        <v>330.964284</v>
      </c>
      <c r="D1723" s="229">
        <v>330.964284</v>
      </c>
      <c r="E1723" s="229">
        <v>330.964284</v>
      </c>
      <c r="F1723" s="229"/>
      <c r="G1723" s="229"/>
      <c r="H1723" s="229"/>
      <c r="I1723" s="229"/>
      <c r="J1723" s="229"/>
      <c r="K1723" s="229"/>
      <c r="L1723" s="229"/>
      <c r="M1723" s="229"/>
      <c r="N1723" s="232"/>
    </row>
    <row r="1724" hidden="1" spans="1:14">
      <c r="A1724" s="235"/>
      <c r="B1724" s="230" t="s">
        <v>1029</v>
      </c>
      <c r="C1724" s="229">
        <v>230.256</v>
      </c>
      <c r="D1724" s="229">
        <v>230.256</v>
      </c>
      <c r="E1724" s="229">
        <v>230.256</v>
      </c>
      <c r="F1724" s="229"/>
      <c r="G1724" s="229"/>
      <c r="H1724" s="229"/>
      <c r="I1724" s="229"/>
      <c r="J1724" s="229"/>
      <c r="K1724" s="229"/>
      <c r="L1724" s="229"/>
      <c r="M1724" s="229"/>
      <c r="N1724" s="232"/>
    </row>
    <row r="1725" hidden="1" spans="1:14">
      <c r="A1725" s="235"/>
      <c r="B1725" s="230" t="s">
        <v>1032</v>
      </c>
      <c r="C1725" s="229">
        <v>2828.764216</v>
      </c>
      <c r="D1725" s="229">
        <v>2828.764216</v>
      </c>
      <c r="E1725" s="229">
        <v>2801.664216</v>
      </c>
      <c r="F1725" s="229">
        <v>27.1</v>
      </c>
      <c r="G1725" s="229"/>
      <c r="H1725" s="229"/>
      <c r="I1725" s="229"/>
      <c r="J1725" s="229"/>
      <c r="K1725" s="229"/>
      <c r="L1725" s="229"/>
      <c r="M1725" s="229"/>
      <c r="N1725" s="232"/>
    </row>
    <row r="1726" hidden="1" spans="1:14">
      <c r="A1726" s="235"/>
      <c r="B1726" s="230" t="s">
        <v>1038</v>
      </c>
      <c r="C1726" s="229">
        <v>1.02</v>
      </c>
      <c r="D1726" s="229">
        <v>1.02</v>
      </c>
      <c r="E1726" s="229">
        <v>1.02</v>
      </c>
      <c r="F1726" s="229"/>
      <c r="G1726" s="229"/>
      <c r="H1726" s="229"/>
      <c r="I1726" s="229"/>
      <c r="J1726" s="229"/>
      <c r="K1726" s="229"/>
      <c r="L1726" s="229"/>
      <c r="M1726" s="229"/>
      <c r="N1726" s="232"/>
    </row>
    <row r="1727" spans="1:14">
      <c r="A1727" s="227" t="s">
        <v>1135</v>
      </c>
      <c r="B1727" s="231" t="s">
        <v>783</v>
      </c>
      <c r="C1727" s="229">
        <v>564.237415</v>
      </c>
      <c r="D1727" s="229">
        <v>564.237415</v>
      </c>
      <c r="E1727" s="229">
        <v>454.237415</v>
      </c>
      <c r="F1727" s="229">
        <v>110</v>
      </c>
      <c r="G1727" s="229"/>
      <c r="H1727" s="229"/>
      <c r="I1727" s="229"/>
      <c r="J1727" s="229"/>
      <c r="K1727" s="229"/>
      <c r="L1727" s="229"/>
      <c r="M1727" s="229"/>
      <c r="N1727" s="233" t="s">
        <v>578</v>
      </c>
    </row>
    <row r="1728" hidden="1" spans="1:14">
      <c r="A1728" s="235"/>
      <c r="B1728" s="230" t="s">
        <v>1037</v>
      </c>
      <c r="C1728" s="229">
        <v>0.27</v>
      </c>
      <c r="D1728" s="229">
        <v>0.27</v>
      </c>
      <c r="E1728" s="229">
        <v>0.27</v>
      </c>
      <c r="F1728" s="229"/>
      <c r="G1728" s="229"/>
      <c r="H1728" s="229"/>
      <c r="I1728" s="229"/>
      <c r="J1728" s="229"/>
      <c r="K1728" s="229"/>
      <c r="L1728" s="229"/>
      <c r="M1728" s="229"/>
      <c r="N1728" s="232"/>
    </row>
    <row r="1729" hidden="1" spans="1:14">
      <c r="A1729" s="235"/>
      <c r="B1729" s="230" t="s">
        <v>1034</v>
      </c>
      <c r="C1729" s="229">
        <v>6.084</v>
      </c>
      <c r="D1729" s="229">
        <v>6.084</v>
      </c>
      <c r="E1729" s="229">
        <v>6.084</v>
      </c>
      <c r="F1729" s="229"/>
      <c r="G1729" s="229"/>
      <c r="H1729" s="229"/>
      <c r="I1729" s="229"/>
      <c r="J1729" s="229"/>
      <c r="K1729" s="229"/>
      <c r="L1729" s="229"/>
      <c r="M1729" s="229"/>
      <c r="N1729" s="232"/>
    </row>
    <row r="1730" hidden="1" spans="1:14">
      <c r="A1730" s="235"/>
      <c r="B1730" s="230" t="s">
        <v>1039</v>
      </c>
      <c r="C1730" s="229">
        <v>3.326533</v>
      </c>
      <c r="D1730" s="229">
        <v>3.326533</v>
      </c>
      <c r="E1730" s="229">
        <v>3.326533</v>
      </c>
      <c r="F1730" s="229"/>
      <c r="G1730" s="229"/>
      <c r="H1730" s="229"/>
      <c r="I1730" s="229"/>
      <c r="J1730" s="229"/>
      <c r="K1730" s="229"/>
      <c r="L1730" s="229"/>
      <c r="M1730" s="229"/>
      <c r="N1730" s="232"/>
    </row>
    <row r="1731" hidden="1" spans="1:14">
      <c r="A1731" s="235"/>
      <c r="B1731" s="230" t="s">
        <v>1028</v>
      </c>
      <c r="C1731" s="229">
        <v>10.8</v>
      </c>
      <c r="D1731" s="229">
        <v>10.8</v>
      </c>
      <c r="E1731" s="229">
        <v>10.8</v>
      </c>
      <c r="F1731" s="229"/>
      <c r="G1731" s="229"/>
      <c r="H1731" s="229"/>
      <c r="I1731" s="229"/>
      <c r="J1731" s="229"/>
      <c r="K1731" s="229"/>
      <c r="L1731" s="229"/>
      <c r="M1731" s="229"/>
      <c r="N1731" s="232"/>
    </row>
    <row r="1732" hidden="1" spans="1:14">
      <c r="A1732" s="235"/>
      <c r="B1732" s="230" t="s">
        <v>1038</v>
      </c>
      <c r="C1732" s="229">
        <v>0.06</v>
      </c>
      <c r="D1732" s="229">
        <v>0.06</v>
      </c>
      <c r="E1732" s="229">
        <v>0.06</v>
      </c>
      <c r="F1732" s="229"/>
      <c r="G1732" s="229"/>
      <c r="H1732" s="229"/>
      <c r="I1732" s="229"/>
      <c r="J1732" s="229"/>
      <c r="K1732" s="229"/>
      <c r="L1732" s="229"/>
      <c r="M1732" s="229"/>
      <c r="N1732" s="232"/>
    </row>
    <row r="1733" hidden="1" spans="1:14">
      <c r="A1733" s="235"/>
      <c r="B1733" s="230" t="s">
        <v>1036</v>
      </c>
      <c r="C1733" s="229">
        <v>27.629201</v>
      </c>
      <c r="D1733" s="229">
        <v>27.629201</v>
      </c>
      <c r="E1733" s="229">
        <v>19.959201</v>
      </c>
      <c r="F1733" s="229">
        <v>7.67</v>
      </c>
      <c r="G1733" s="229"/>
      <c r="H1733" s="229"/>
      <c r="I1733" s="229"/>
      <c r="J1733" s="229"/>
      <c r="K1733" s="229"/>
      <c r="L1733" s="229"/>
      <c r="M1733" s="229"/>
      <c r="N1733" s="232"/>
    </row>
    <row r="1734" hidden="1" spans="1:14">
      <c r="A1734" s="235"/>
      <c r="B1734" s="230" t="s">
        <v>1064</v>
      </c>
      <c r="C1734" s="229">
        <v>172.152888</v>
      </c>
      <c r="D1734" s="229">
        <v>172.152888</v>
      </c>
      <c r="E1734" s="229">
        <v>172.152888</v>
      </c>
      <c r="F1734" s="229"/>
      <c r="G1734" s="229"/>
      <c r="H1734" s="229"/>
      <c r="I1734" s="229"/>
      <c r="J1734" s="229"/>
      <c r="K1734" s="229"/>
      <c r="L1734" s="229"/>
      <c r="M1734" s="229"/>
      <c r="N1734" s="232"/>
    </row>
    <row r="1735" hidden="1" spans="1:14">
      <c r="A1735" s="235"/>
      <c r="B1735" s="230" t="s">
        <v>1033</v>
      </c>
      <c r="C1735" s="229">
        <v>46.358121</v>
      </c>
      <c r="D1735" s="229">
        <v>46.358121</v>
      </c>
      <c r="E1735" s="229">
        <v>46.358121</v>
      </c>
      <c r="F1735" s="229"/>
      <c r="G1735" s="229"/>
      <c r="H1735" s="229"/>
      <c r="I1735" s="229"/>
      <c r="J1735" s="229"/>
      <c r="K1735" s="229"/>
      <c r="L1735" s="229"/>
      <c r="M1735" s="229"/>
      <c r="N1735" s="232"/>
    </row>
    <row r="1736" hidden="1" spans="1:14">
      <c r="A1736" s="235"/>
      <c r="B1736" s="230" t="s">
        <v>1029</v>
      </c>
      <c r="C1736" s="229">
        <v>28</v>
      </c>
      <c r="D1736" s="229">
        <v>28</v>
      </c>
      <c r="E1736" s="229">
        <v>28</v>
      </c>
      <c r="F1736" s="229"/>
      <c r="G1736" s="229"/>
      <c r="H1736" s="229"/>
      <c r="I1736" s="229"/>
      <c r="J1736" s="229"/>
      <c r="K1736" s="229"/>
      <c r="L1736" s="229"/>
      <c r="M1736" s="229"/>
      <c r="N1736" s="232"/>
    </row>
    <row r="1737" hidden="1" spans="1:14">
      <c r="A1737" s="235"/>
      <c r="B1737" s="230" t="s">
        <v>1032</v>
      </c>
      <c r="C1737" s="229">
        <v>268.656672</v>
      </c>
      <c r="D1737" s="229">
        <v>268.656672</v>
      </c>
      <c r="E1737" s="229">
        <v>166.326672</v>
      </c>
      <c r="F1737" s="229">
        <v>102.33</v>
      </c>
      <c r="G1737" s="229"/>
      <c r="H1737" s="229"/>
      <c r="I1737" s="229"/>
      <c r="J1737" s="229"/>
      <c r="K1737" s="229"/>
      <c r="L1737" s="229"/>
      <c r="M1737" s="229"/>
      <c r="N1737" s="232"/>
    </row>
    <row r="1738" hidden="1" spans="1:14">
      <c r="A1738" s="235"/>
      <c r="B1738" s="230" t="s">
        <v>1035</v>
      </c>
      <c r="C1738" s="229">
        <v>0.9</v>
      </c>
      <c r="D1738" s="229">
        <v>0.9</v>
      </c>
      <c r="E1738" s="229">
        <v>0.9</v>
      </c>
      <c r="F1738" s="229"/>
      <c r="G1738" s="229"/>
      <c r="H1738" s="229"/>
      <c r="I1738" s="229"/>
      <c r="J1738" s="229"/>
      <c r="K1738" s="229"/>
      <c r="L1738" s="229"/>
      <c r="M1738" s="229"/>
      <c r="N1738" s="232"/>
    </row>
    <row r="1739" spans="1:14">
      <c r="A1739" s="227" t="s">
        <v>1136</v>
      </c>
      <c r="B1739" s="231" t="s">
        <v>1137</v>
      </c>
      <c r="C1739" s="229">
        <v>1290.771307</v>
      </c>
      <c r="D1739" s="229">
        <v>1290.771307</v>
      </c>
      <c r="E1739" s="229">
        <v>1290.771307</v>
      </c>
      <c r="F1739" s="229"/>
      <c r="G1739" s="229"/>
      <c r="H1739" s="229"/>
      <c r="I1739" s="229"/>
      <c r="J1739" s="229"/>
      <c r="K1739" s="229"/>
      <c r="L1739" s="229"/>
      <c r="M1739" s="229"/>
      <c r="N1739" s="233" t="s">
        <v>578</v>
      </c>
    </row>
    <row r="1740" hidden="1" spans="1:14">
      <c r="A1740" s="235"/>
      <c r="B1740" s="230" t="s">
        <v>1035</v>
      </c>
      <c r="C1740" s="229">
        <v>3.2</v>
      </c>
      <c r="D1740" s="229">
        <v>3.2</v>
      </c>
      <c r="E1740" s="229">
        <v>3.2</v>
      </c>
      <c r="F1740" s="229"/>
      <c r="G1740" s="229"/>
      <c r="H1740" s="229"/>
      <c r="I1740" s="229"/>
      <c r="J1740" s="229"/>
      <c r="K1740" s="229"/>
      <c r="L1740" s="229"/>
      <c r="M1740" s="229"/>
      <c r="N1740" s="232"/>
    </row>
    <row r="1741" hidden="1" spans="1:14">
      <c r="A1741" s="235"/>
      <c r="B1741" s="230" t="s">
        <v>1037</v>
      </c>
      <c r="C1741" s="229">
        <v>15.526642</v>
      </c>
      <c r="D1741" s="229">
        <v>15.526642</v>
      </c>
      <c r="E1741" s="229">
        <v>15.526642</v>
      </c>
      <c r="F1741" s="229"/>
      <c r="G1741" s="229"/>
      <c r="H1741" s="229"/>
      <c r="I1741" s="229"/>
      <c r="J1741" s="229"/>
      <c r="K1741" s="229"/>
      <c r="L1741" s="229"/>
      <c r="M1741" s="229"/>
      <c r="N1741" s="232"/>
    </row>
    <row r="1742" hidden="1" spans="1:14">
      <c r="A1742" s="235"/>
      <c r="B1742" s="230" t="s">
        <v>1034</v>
      </c>
      <c r="C1742" s="229">
        <v>4.056</v>
      </c>
      <c r="D1742" s="229">
        <v>4.056</v>
      </c>
      <c r="E1742" s="229">
        <v>4.056</v>
      </c>
      <c r="F1742" s="229"/>
      <c r="G1742" s="229"/>
      <c r="H1742" s="229"/>
      <c r="I1742" s="229"/>
      <c r="J1742" s="229"/>
      <c r="K1742" s="229"/>
      <c r="L1742" s="229"/>
      <c r="M1742" s="229"/>
      <c r="N1742" s="232"/>
    </row>
    <row r="1743" hidden="1" spans="1:14">
      <c r="A1743" s="235"/>
      <c r="B1743" s="230" t="s">
        <v>1027</v>
      </c>
      <c r="C1743" s="229">
        <v>2</v>
      </c>
      <c r="D1743" s="229">
        <v>2</v>
      </c>
      <c r="E1743" s="229">
        <v>2</v>
      </c>
      <c r="F1743" s="229"/>
      <c r="G1743" s="229"/>
      <c r="H1743" s="229"/>
      <c r="I1743" s="229"/>
      <c r="J1743" s="229"/>
      <c r="K1743" s="229"/>
      <c r="L1743" s="229"/>
      <c r="M1743" s="229"/>
      <c r="N1743" s="232"/>
    </row>
    <row r="1744" hidden="1" spans="1:14">
      <c r="A1744" s="235"/>
      <c r="B1744" s="230" t="s">
        <v>1039</v>
      </c>
      <c r="C1744" s="229">
        <v>9.948672</v>
      </c>
      <c r="D1744" s="229">
        <v>9.948672</v>
      </c>
      <c r="E1744" s="229">
        <v>9.948672</v>
      </c>
      <c r="F1744" s="229"/>
      <c r="G1744" s="229"/>
      <c r="H1744" s="229"/>
      <c r="I1744" s="229"/>
      <c r="J1744" s="229"/>
      <c r="K1744" s="229"/>
      <c r="L1744" s="229"/>
      <c r="M1744" s="229"/>
      <c r="N1744" s="232"/>
    </row>
    <row r="1745" hidden="1" spans="1:14">
      <c r="A1745" s="235"/>
      <c r="B1745" s="230" t="s">
        <v>1028</v>
      </c>
      <c r="C1745" s="229">
        <v>38.4</v>
      </c>
      <c r="D1745" s="229">
        <v>38.4</v>
      </c>
      <c r="E1745" s="229">
        <v>38.4</v>
      </c>
      <c r="F1745" s="229"/>
      <c r="G1745" s="229"/>
      <c r="H1745" s="229"/>
      <c r="I1745" s="229"/>
      <c r="J1745" s="229"/>
      <c r="K1745" s="229"/>
      <c r="L1745" s="229"/>
      <c r="M1745" s="229"/>
      <c r="N1745" s="232"/>
    </row>
    <row r="1746" hidden="1" spans="1:14">
      <c r="A1746" s="235"/>
      <c r="B1746" s="230" t="s">
        <v>1038</v>
      </c>
      <c r="C1746" s="229">
        <v>0.074</v>
      </c>
      <c r="D1746" s="229">
        <v>0.074</v>
      </c>
      <c r="E1746" s="229">
        <v>0.074</v>
      </c>
      <c r="F1746" s="229"/>
      <c r="G1746" s="229"/>
      <c r="H1746" s="229"/>
      <c r="I1746" s="229"/>
      <c r="J1746" s="229"/>
      <c r="K1746" s="229"/>
      <c r="L1746" s="229"/>
      <c r="M1746" s="229"/>
      <c r="N1746" s="232"/>
    </row>
    <row r="1747" hidden="1" spans="1:14">
      <c r="A1747" s="235"/>
      <c r="B1747" s="230" t="s">
        <v>1036</v>
      </c>
      <c r="C1747" s="229">
        <v>92.752665</v>
      </c>
      <c r="D1747" s="229">
        <v>92.752665</v>
      </c>
      <c r="E1747" s="229">
        <v>92.752665</v>
      </c>
      <c r="F1747" s="229"/>
      <c r="G1747" s="229"/>
      <c r="H1747" s="229"/>
      <c r="I1747" s="229"/>
      <c r="J1747" s="229"/>
      <c r="K1747" s="229"/>
      <c r="L1747" s="229"/>
      <c r="M1747" s="229"/>
      <c r="N1747" s="232"/>
    </row>
    <row r="1748" hidden="1" spans="1:14">
      <c r="A1748" s="235"/>
      <c r="B1748" s="230" t="s">
        <v>1033</v>
      </c>
      <c r="C1748" s="229">
        <v>157.592452</v>
      </c>
      <c r="D1748" s="229">
        <v>157.592452</v>
      </c>
      <c r="E1748" s="229">
        <v>157.592452</v>
      </c>
      <c r="F1748" s="229"/>
      <c r="G1748" s="229"/>
      <c r="H1748" s="229"/>
      <c r="I1748" s="229"/>
      <c r="J1748" s="229"/>
      <c r="K1748" s="229"/>
      <c r="L1748" s="229"/>
      <c r="M1748" s="229"/>
      <c r="N1748" s="232"/>
    </row>
    <row r="1749" hidden="1" spans="1:14">
      <c r="A1749" s="235"/>
      <c r="B1749" s="230" t="s">
        <v>1029</v>
      </c>
      <c r="C1749" s="229">
        <v>194.112</v>
      </c>
      <c r="D1749" s="229">
        <v>194.112</v>
      </c>
      <c r="E1749" s="229">
        <v>194.112</v>
      </c>
      <c r="F1749" s="229"/>
      <c r="G1749" s="229"/>
      <c r="H1749" s="229"/>
      <c r="I1749" s="229"/>
      <c r="J1749" s="229"/>
      <c r="K1749" s="229"/>
      <c r="L1749" s="229"/>
      <c r="M1749" s="229"/>
      <c r="N1749" s="232"/>
    </row>
    <row r="1750" hidden="1" spans="1:14">
      <c r="A1750" s="235"/>
      <c r="B1750" s="230" t="s">
        <v>1032</v>
      </c>
      <c r="C1750" s="229">
        <v>772.938876</v>
      </c>
      <c r="D1750" s="229">
        <v>772.938876</v>
      </c>
      <c r="E1750" s="229">
        <v>772.938876</v>
      </c>
      <c r="F1750" s="229"/>
      <c r="G1750" s="229"/>
      <c r="H1750" s="229"/>
      <c r="I1750" s="229"/>
      <c r="J1750" s="229"/>
      <c r="K1750" s="229"/>
      <c r="L1750" s="229"/>
      <c r="M1750" s="229"/>
      <c r="N1750" s="232"/>
    </row>
    <row r="1751" hidden="1" spans="1:14">
      <c r="A1751" s="235"/>
      <c r="B1751" s="230" t="s">
        <v>1042</v>
      </c>
      <c r="C1751" s="229">
        <v>0.17</v>
      </c>
      <c r="D1751" s="229">
        <v>0.17</v>
      </c>
      <c r="E1751" s="229">
        <v>0.17</v>
      </c>
      <c r="F1751" s="229"/>
      <c r="G1751" s="229"/>
      <c r="H1751" s="229"/>
      <c r="I1751" s="229"/>
      <c r="J1751" s="229"/>
      <c r="K1751" s="229"/>
      <c r="L1751" s="229"/>
      <c r="M1751" s="229"/>
      <c r="N1751" s="232"/>
    </row>
    <row r="1752" spans="1:14">
      <c r="A1752" s="227" t="s">
        <v>1138</v>
      </c>
      <c r="B1752" s="231" t="s">
        <v>785</v>
      </c>
      <c r="C1752" s="229">
        <v>1664.02679</v>
      </c>
      <c r="D1752" s="229">
        <v>1664.02679</v>
      </c>
      <c r="E1752" s="229">
        <v>1664.02679</v>
      </c>
      <c r="F1752" s="229"/>
      <c r="G1752" s="229"/>
      <c r="H1752" s="229"/>
      <c r="I1752" s="229"/>
      <c r="J1752" s="229"/>
      <c r="K1752" s="229"/>
      <c r="L1752" s="229"/>
      <c r="M1752" s="229"/>
      <c r="N1752" s="233" t="s">
        <v>578</v>
      </c>
    </row>
    <row r="1753" hidden="1" spans="1:14">
      <c r="A1753" s="235"/>
      <c r="B1753" s="230" t="s">
        <v>1037</v>
      </c>
      <c r="C1753" s="229">
        <v>15.665868</v>
      </c>
      <c r="D1753" s="229">
        <v>15.665868</v>
      </c>
      <c r="E1753" s="229">
        <v>15.665868</v>
      </c>
      <c r="F1753" s="229"/>
      <c r="G1753" s="229"/>
      <c r="H1753" s="229"/>
      <c r="I1753" s="229"/>
      <c r="J1753" s="229"/>
      <c r="K1753" s="229"/>
      <c r="L1753" s="229"/>
      <c r="M1753" s="229"/>
      <c r="N1753" s="232"/>
    </row>
    <row r="1754" hidden="1" spans="1:14">
      <c r="A1754" s="235"/>
      <c r="B1754" s="230" t="s">
        <v>1027</v>
      </c>
      <c r="C1754" s="229">
        <v>2</v>
      </c>
      <c r="D1754" s="229">
        <v>2</v>
      </c>
      <c r="E1754" s="229">
        <v>2</v>
      </c>
      <c r="F1754" s="229"/>
      <c r="G1754" s="229"/>
      <c r="H1754" s="229"/>
      <c r="I1754" s="229"/>
      <c r="J1754" s="229"/>
      <c r="K1754" s="229"/>
      <c r="L1754" s="229"/>
      <c r="M1754" s="229"/>
      <c r="N1754" s="232"/>
    </row>
    <row r="1755" hidden="1" spans="1:14">
      <c r="A1755" s="235"/>
      <c r="B1755" s="230" t="s">
        <v>1034</v>
      </c>
      <c r="C1755" s="229">
        <v>5.07</v>
      </c>
      <c r="D1755" s="229">
        <v>5.07</v>
      </c>
      <c r="E1755" s="229">
        <v>5.07</v>
      </c>
      <c r="F1755" s="229"/>
      <c r="G1755" s="229"/>
      <c r="H1755" s="229"/>
      <c r="I1755" s="229"/>
      <c r="J1755" s="229"/>
      <c r="K1755" s="229"/>
      <c r="L1755" s="229"/>
      <c r="M1755" s="229"/>
      <c r="N1755" s="232"/>
    </row>
    <row r="1756" hidden="1" spans="1:14">
      <c r="A1756" s="235"/>
      <c r="B1756" s="230" t="s">
        <v>1039</v>
      </c>
      <c r="C1756" s="229">
        <v>13.625252</v>
      </c>
      <c r="D1756" s="229">
        <v>13.625252</v>
      </c>
      <c r="E1756" s="229">
        <v>13.625252</v>
      </c>
      <c r="F1756" s="229"/>
      <c r="G1756" s="229"/>
      <c r="H1756" s="229"/>
      <c r="I1756" s="229"/>
      <c r="J1756" s="229"/>
      <c r="K1756" s="229"/>
      <c r="L1756" s="229"/>
      <c r="M1756" s="229"/>
      <c r="N1756" s="232"/>
    </row>
    <row r="1757" hidden="1" spans="1:14">
      <c r="A1757" s="235"/>
      <c r="B1757" s="230" t="s">
        <v>1042</v>
      </c>
      <c r="C1757" s="229">
        <v>0.17</v>
      </c>
      <c r="D1757" s="229">
        <v>0.17</v>
      </c>
      <c r="E1757" s="229">
        <v>0.17</v>
      </c>
      <c r="F1757" s="229"/>
      <c r="G1757" s="229"/>
      <c r="H1757" s="229"/>
      <c r="I1757" s="229"/>
      <c r="J1757" s="229"/>
      <c r="K1757" s="229"/>
      <c r="L1757" s="229"/>
      <c r="M1757" s="229"/>
      <c r="N1757" s="232"/>
    </row>
    <row r="1758" hidden="1" spans="1:14">
      <c r="A1758" s="235"/>
      <c r="B1758" s="230" t="s">
        <v>1028</v>
      </c>
      <c r="C1758" s="229">
        <v>51.6</v>
      </c>
      <c r="D1758" s="229">
        <v>51.6</v>
      </c>
      <c r="E1758" s="229">
        <v>51.6</v>
      </c>
      <c r="F1758" s="229"/>
      <c r="G1758" s="229"/>
      <c r="H1758" s="229"/>
      <c r="I1758" s="229"/>
      <c r="J1758" s="229"/>
      <c r="K1758" s="229"/>
      <c r="L1758" s="229"/>
      <c r="M1758" s="229"/>
      <c r="N1758" s="232"/>
    </row>
    <row r="1759" hidden="1" spans="1:14">
      <c r="A1759" s="235"/>
      <c r="B1759" s="230" t="s">
        <v>1038</v>
      </c>
      <c r="C1759" s="229">
        <v>0.254</v>
      </c>
      <c r="D1759" s="229">
        <v>0.254</v>
      </c>
      <c r="E1759" s="229">
        <v>0.254</v>
      </c>
      <c r="F1759" s="229"/>
      <c r="G1759" s="229"/>
      <c r="H1759" s="229"/>
      <c r="I1759" s="229"/>
      <c r="J1759" s="229"/>
      <c r="K1759" s="229"/>
      <c r="L1759" s="229"/>
      <c r="M1759" s="229"/>
      <c r="N1759" s="232"/>
    </row>
    <row r="1760" hidden="1" spans="1:14">
      <c r="A1760" s="235"/>
      <c r="B1760" s="230" t="s">
        <v>1036</v>
      </c>
      <c r="C1760" s="229">
        <v>124.258045</v>
      </c>
      <c r="D1760" s="229">
        <v>124.258045</v>
      </c>
      <c r="E1760" s="229">
        <v>124.258045</v>
      </c>
      <c r="F1760" s="229"/>
      <c r="G1760" s="229"/>
      <c r="H1760" s="229"/>
      <c r="I1760" s="229"/>
      <c r="J1760" s="229"/>
      <c r="K1760" s="229"/>
      <c r="L1760" s="229"/>
      <c r="M1760" s="229"/>
      <c r="N1760" s="232"/>
    </row>
    <row r="1761" hidden="1" spans="1:14">
      <c r="A1761" s="235"/>
      <c r="B1761" s="230" t="s">
        <v>1033</v>
      </c>
      <c r="C1761" s="229">
        <v>217.629917</v>
      </c>
      <c r="D1761" s="229">
        <v>217.629917</v>
      </c>
      <c r="E1761" s="229">
        <v>217.629917</v>
      </c>
      <c r="F1761" s="229"/>
      <c r="G1761" s="229"/>
      <c r="H1761" s="229"/>
      <c r="I1761" s="229"/>
      <c r="J1761" s="229"/>
      <c r="K1761" s="229"/>
      <c r="L1761" s="229"/>
      <c r="M1761" s="229"/>
      <c r="N1761" s="232"/>
    </row>
    <row r="1762" hidden="1" spans="1:14">
      <c r="A1762" s="235"/>
      <c r="B1762" s="230" t="s">
        <v>1029</v>
      </c>
      <c r="C1762" s="229">
        <v>193.958</v>
      </c>
      <c r="D1762" s="229">
        <v>193.958</v>
      </c>
      <c r="E1762" s="229">
        <v>193.958</v>
      </c>
      <c r="F1762" s="229"/>
      <c r="G1762" s="229"/>
      <c r="H1762" s="229"/>
      <c r="I1762" s="229"/>
      <c r="J1762" s="229"/>
      <c r="K1762" s="229"/>
      <c r="L1762" s="229"/>
      <c r="M1762" s="229"/>
      <c r="N1762" s="232"/>
    </row>
    <row r="1763" hidden="1" spans="1:14">
      <c r="A1763" s="235"/>
      <c r="B1763" s="230" t="s">
        <v>1032</v>
      </c>
      <c r="C1763" s="229">
        <v>1035.495708</v>
      </c>
      <c r="D1763" s="229">
        <v>1035.495708</v>
      </c>
      <c r="E1763" s="229">
        <v>1035.495708</v>
      </c>
      <c r="F1763" s="229"/>
      <c r="G1763" s="229"/>
      <c r="H1763" s="229"/>
      <c r="I1763" s="229"/>
      <c r="J1763" s="229"/>
      <c r="K1763" s="229"/>
      <c r="L1763" s="229"/>
      <c r="M1763" s="229"/>
      <c r="N1763" s="232"/>
    </row>
    <row r="1764" hidden="1" spans="1:14">
      <c r="A1764" s="235"/>
      <c r="B1764" s="230" t="s">
        <v>1035</v>
      </c>
      <c r="C1764" s="229">
        <v>4.3</v>
      </c>
      <c r="D1764" s="229">
        <v>4.3</v>
      </c>
      <c r="E1764" s="229">
        <v>4.3</v>
      </c>
      <c r="F1764" s="229"/>
      <c r="G1764" s="229"/>
      <c r="H1764" s="229"/>
      <c r="I1764" s="229"/>
      <c r="J1764" s="229"/>
      <c r="K1764" s="229"/>
      <c r="L1764" s="229"/>
      <c r="M1764" s="229"/>
      <c r="N1764" s="232"/>
    </row>
    <row r="1765" spans="1:14">
      <c r="A1765" s="227" t="s">
        <v>1139</v>
      </c>
      <c r="B1765" s="231" t="s">
        <v>786</v>
      </c>
      <c r="C1765" s="229">
        <v>1109.922751</v>
      </c>
      <c r="D1765" s="229">
        <v>1109.922751</v>
      </c>
      <c r="E1765" s="229">
        <v>1109.922751</v>
      </c>
      <c r="F1765" s="229"/>
      <c r="G1765" s="229"/>
      <c r="H1765" s="229"/>
      <c r="I1765" s="229"/>
      <c r="J1765" s="229"/>
      <c r="K1765" s="229"/>
      <c r="L1765" s="229"/>
      <c r="M1765" s="229"/>
      <c r="N1765" s="233" t="s">
        <v>578</v>
      </c>
    </row>
    <row r="1766" hidden="1" spans="1:14">
      <c r="A1766" s="235"/>
      <c r="B1766" s="230" t="s">
        <v>1037</v>
      </c>
      <c r="C1766" s="229">
        <v>0.54</v>
      </c>
      <c r="D1766" s="229">
        <v>0.54</v>
      </c>
      <c r="E1766" s="229">
        <v>0.54</v>
      </c>
      <c r="F1766" s="229"/>
      <c r="G1766" s="229"/>
      <c r="H1766" s="229"/>
      <c r="I1766" s="229"/>
      <c r="J1766" s="229"/>
      <c r="K1766" s="229"/>
      <c r="L1766" s="229"/>
      <c r="M1766" s="229"/>
      <c r="N1766" s="232"/>
    </row>
    <row r="1767" hidden="1" spans="1:14">
      <c r="A1767" s="235"/>
      <c r="B1767" s="230" t="s">
        <v>1027</v>
      </c>
      <c r="C1767" s="229">
        <v>2</v>
      </c>
      <c r="D1767" s="229">
        <v>2</v>
      </c>
      <c r="E1767" s="229">
        <v>2</v>
      </c>
      <c r="F1767" s="229"/>
      <c r="G1767" s="229"/>
      <c r="H1767" s="229"/>
      <c r="I1767" s="229"/>
      <c r="J1767" s="229"/>
      <c r="K1767" s="229"/>
      <c r="L1767" s="229"/>
      <c r="M1767" s="229"/>
      <c r="N1767" s="232"/>
    </row>
    <row r="1768" hidden="1" spans="1:14">
      <c r="A1768" s="235"/>
      <c r="B1768" s="230" t="s">
        <v>1034</v>
      </c>
      <c r="C1768" s="229">
        <v>7.098</v>
      </c>
      <c r="D1768" s="229">
        <v>7.098</v>
      </c>
      <c r="E1768" s="229">
        <v>7.098</v>
      </c>
      <c r="F1768" s="229"/>
      <c r="G1768" s="229"/>
      <c r="H1768" s="229"/>
      <c r="I1768" s="229"/>
      <c r="J1768" s="229"/>
      <c r="K1768" s="229"/>
      <c r="L1768" s="229"/>
      <c r="M1768" s="229"/>
      <c r="N1768" s="232"/>
    </row>
    <row r="1769" hidden="1" spans="1:14">
      <c r="A1769" s="235"/>
      <c r="B1769" s="230" t="s">
        <v>1039</v>
      </c>
      <c r="C1769" s="229">
        <v>9.263446</v>
      </c>
      <c r="D1769" s="229">
        <v>9.263446</v>
      </c>
      <c r="E1769" s="229">
        <v>9.263446</v>
      </c>
      <c r="F1769" s="229"/>
      <c r="G1769" s="229"/>
      <c r="H1769" s="229"/>
      <c r="I1769" s="229"/>
      <c r="J1769" s="229"/>
      <c r="K1769" s="229"/>
      <c r="L1769" s="229"/>
      <c r="M1769" s="229"/>
      <c r="N1769" s="232"/>
    </row>
    <row r="1770" hidden="1" spans="1:14">
      <c r="A1770" s="235"/>
      <c r="B1770" s="230" t="s">
        <v>1028</v>
      </c>
      <c r="C1770" s="229">
        <v>21.6</v>
      </c>
      <c r="D1770" s="229">
        <v>21.6</v>
      </c>
      <c r="E1770" s="229">
        <v>21.6</v>
      </c>
      <c r="F1770" s="229"/>
      <c r="G1770" s="229"/>
      <c r="H1770" s="229"/>
      <c r="I1770" s="229"/>
      <c r="J1770" s="229"/>
      <c r="K1770" s="229"/>
      <c r="L1770" s="229"/>
      <c r="M1770" s="229"/>
      <c r="N1770" s="232"/>
    </row>
    <row r="1771" hidden="1" spans="1:14">
      <c r="A1771" s="235"/>
      <c r="B1771" s="230" t="s">
        <v>1036</v>
      </c>
      <c r="C1771" s="229">
        <v>87.59177</v>
      </c>
      <c r="D1771" s="229">
        <v>87.59177</v>
      </c>
      <c r="E1771" s="229">
        <v>87.59177</v>
      </c>
      <c r="F1771" s="229"/>
      <c r="G1771" s="229"/>
      <c r="H1771" s="229"/>
      <c r="I1771" s="229"/>
      <c r="J1771" s="229"/>
      <c r="K1771" s="229"/>
      <c r="L1771" s="229"/>
      <c r="M1771" s="229"/>
      <c r="N1771" s="232"/>
    </row>
    <row r="1772" hidden="1" spans="1:14">
      <c r="A1772" s="235"/>
      <c r="B1772" s="230" t="s">
        <v>1033</v>
      </c>
      <c r="C1772" s="229">
        <v>141.525719</v>
      </c>
      <c r="D1772" s="229">
        <v>141.525719</v>
      </c>
      <c r="E1772" s="229">
        <v>141.525719</v>
      </c>
      <c r="F1772" s="229"/>
      <c r="G1772" s="229"/>
      <c r="H1772" s="229"/>
      <c r="I1772" s="229"/>
      <c r="J1772" s="229"/>
      <c r="K1772" s="229"/>
      <c r="L1772" s="229"/>
      <c r="M1772" s="229"/>
      <c r="N1772" s="232"/>
    </row>
    <row r="1773" hidden="1" spans="1:14">
      <c r="A1773" s="235"/>
      <c r="B1773" s="230" t="s">
        <v>1029</v>
      </c>
      <c r="C1773" s="229">
        <v>100.728</v>
      </c>
      <c r="D1773" s="229">
        <v>100.728</v>
      </c>
      <c r="E1773" s="229">
        <v>100.728</v>
      </c>
      <c r="F1773" s="229"/>
      <c r="G1773" s="229"/>
      <c r="H1773" s="229"/>
      <c r="I1773" s="229"/>
      <c r="J1773" s="229"/>
      <c r="K1773" s="229"/>
      <c r="L1773" s="229"/>
      <c r="M1773" s="229"/>
      <c r="N1773" s="232"/>
    </row>
    <row r="1774" hidden="1" spans="1:14">
      <c r="A1774" s="235"/>
      <c r="B1774" s="230" t="s">
        <v>1032</v>
      </c>
      <c r="C1774" s="229">
        <v>737.775816</v>
      </c>
      <c r="D1774" s="229">
        <v>737.775816</v>
      </c>
      <c r="E1774" s="229">
        <v>737.775816</v>
      </c>
      <c r="F1774" s="229"/>
      <c r="G1774" s="229"/>
      <c r="H1774" s="229"/>
      <c r="I1774" s="229"/>
      <c r="J1774" s="229"/>
      <c r="K1774" s="229"/>
      <c r="L1774" s="229"/>
      <c r="M1774" s="229"/>
      <c r="N1774" s="232"/>
    </row>
    <row r="1775" hidden="1" spans="1:14">
      <c r="A1775" s="235"/>
      <c r="B1775" s="230" t="s">
        <v>1035</v>
      </c>
      <c r="C1775" s="229">
        <v>1.8</v>
      </c>
      <c r="D1775" s="229">
        <v>1.8</v>
      </c>
      <c r="E1775" s="229">
        <v>1.8</v>
      </c>
      <c r="F1775" s="229"/>
      <c r="G1775" s="229"/>
      <c r="H1775" s="229"/>
      <c r="I1775" s="229"/>
      <c r="J1775" s="229"/>
      <c r="K1775" s="229"/>
      <c r="L1775" s="229"/>
      <c r="M1775" s="229"/>
      <c r="N1775" s="232"/>
    </row>
    <row r="1776" spans="1:14">
      <c r="A1776" s="227" t="s">
        <v>1140</v>
      </c>
      <c r="B1776" s="231" t="s">
        <v>787</v>
      </c>
      <c r="C1776" s="229">
        <v>1164.868644</v>
      </c>
      <c r="D1776" s="229">
        <v>1164.868644</v>
      </c>
      <c r="E1776" s="229">
        <v>1164.868644</v>
      </c>
      <c r="F1776" s="229"/>
      <c r="G1776" s="229"/>
      <c r="H1776" s="229"/>
      <c r="I1776" s="229"/>
      <c r="J1776" s="229"/>
      <c r="K1776" s="229"/>
      <c r="L1776" s="229"/>
      <c r="M1776" s="229"/>
      <c r="N1776" s="233" t="s">
        <v>578</v>
      </c>
    </row>
    <row r="1777" hidden="1" spans="1:14">
      <c r="A1777" s="235"/>
      <c r="B1777" s="230" t="s">
        <v>1036</v>
      </c>
      <c r="C1777" s="229">
        <v>95.68279</v>
      </c>
      <c r="D1777" s="229">
        <v>95.68279</v>
      </c>
      <c r="E1777" s="229">
        <v>95.68279</v>
      </c>
      <c r="F1777" s="229"/>
      <c r="G1777" s="229"/>
      <c r="H1777" s="229"/>
      <c r="I1777" s="229"/>
      <c r="J1777" s="229"/>
      <c r="K1777" s="229"/>
      <c r="L1777" s="229"/>
      <c r="M1777" s="229"/>
      <c r="N1777" s="232"/>
    </row>
    <row r="1778" hidden="1" spans="1:14">
      <c r="A1778" s="235"/>
      <c r="B1778" s="230" t="s">
        <v>1033</v>
      </c>
      <c r="C1778" s="229">
        <v>135.457788</v>
      </c>
      <c r="D1778" s="229">
        <v>135.457788</v>
      </c>
      <c r="E1778" s="229">
        <v>135.457788</v>
      </c>
      <c r="F1778" s="229"/>
      <c r="G1778" s="229"/>
      <c r="H1778" s="229"/>
      <c r="I1778" s="229"/>
      <c r="J1778" s="229"/>
      <c r="K1778" s="229"/>
      <c r="L1778" s="229"/>
      <c r="M1778" s="229"/>
      <c r="N1778" s="232"/>
    </row>
    <row r="1779" hidden="1" spans="1:14">
      <c r="A1779" s="235"/>
      <c r="B1779" s="230" t="s">
        <v>1029</v>
      </c>
      <c r="C1779" s="229">
        <v>126.984</v>
      </c>
      <c r="D1779" s="229">
        <v>126.984</v>
      </c>
      <c r="E1779" s="229">
        <v>126.984</v>
      </c>
      <c r="F1779" s="229"/>
      <c r="G1779" s="229"/>
      <c r="H1779" s="229"/>
      <c r="I1779" s="229"/>
      <c r="J1779" s="229"/>
      <c r="K1779" s="229"/>
      <c r="L1779" s="229"/>
      <c r="M1779" s="229"/>
      <c r="N1779" s="232"/>
    </row>
    <row r="1780" hidden="1" spans="1:14">
      <c r="A1780" s="235"/>
      <c r="B1780" s="230" t="s">
        <v>1032</v>
      </c>
      <c r="C1780" s="229">
        <v>797.356584</v>
      </c>
      <c r="D1780" s="229">
        <v>797.356584</v>
      </c>
      <c r="E1780" s="229">
        <v>797.356584</v>
      </c>
      <c r="F1780" s="229"/>
      <c r="G1780" s="229"/>
      <c r="H1780" s="229"/>
      <c r="I1780" s="229"/>
      <c r="J1780" s="229"/>
      <c r="K1780" s="229"/>
      <c r="L1780" s="229"/>
      <c r="M1780" s="229"/>
      <c r="N1780" s="232"/>
    </row>
    <row r="1781" hidden="1" spans="1:14">
      <c r="A1781" s="235"/>
      <c r="B1781" s="230" t="s">
        <v>1039</v>
      </c>
      <c r="C1781" s="229">
        <v>9.387482</v>
      </c>
      <c r="D1781" s="229">
        <v>9.387482</v>
      </c>
      <c r="E1781" s="229">
        <v>9.387482</v>
      </c>
      <c r="F1781" s="229"/>
      <c r="G1781" s="229"/>
      <c r="H1781" s="229"/>
      <c r="I1781" s="229"/>
      <c r="J1781" s="229"/>
      <c r="K1781" s="229"/>
      <c r="L1781" s="229"/>
      <c r="M1781" s="229"/>
      <c r="N1781" s="232"/>
    </row>
    <row r="1782" spans="1:14">
      <c r="A1782" s="227" t="s">
        <v>1141</v>
      </c>
      <c r="B1782" s="231" t="s">
        <v>788</v>
      </c>
      <c r="C1782" s="229">
        <v>2089.970462</v>
      </c>
      <c r="D1782" s="229">
        <v>2089.970462</v>
      </c>
      <c r="E1782" s="229">
        <v>2089.970462</v>
      </c>
      <c r="F1782" s="229"/>
      <c r="G1782" s="229"/>
      <c r="H1782" s="229"/>
      <c r="I1782" s="229"/>
      <c r="J1782" s="229"/>
      <c r="K1782" s="229"/>
      <c r="L1782" s="229"/>
      <c r="M1782" s="229"/>
      <c r="N1782" s="233" t="s">
        <v>578</v>
      </c>
    </row>
    <row r="1783" hidden="1" spans="1:14">
      <c r="A1783" s="235"/>
      <c r="B1783" s="230" t="s">
        <v>1037</v>
      </c>
      <c r="C1783" s="229">
        <v>0.39</v>
      </c>
      <c r="D1783" s="229">
        <v>0.39</v>
      </c>
      <c r="E1783" s="229">
        <v>0.39</v>
      </c>
      <c r="F1783" s="229"/>
      <c r="G1783" s="229"/>
      <c r="H1783" s="229"/>
      <c r="I1783" s="229"/>
      <c r="J1783" s="229"/>
      <c r="K1783" s="229"/>
      <c r="L1783" s="229"/>
      <c r="M1783" s="229"/>
      <c r="N1783" s="232"/>
    </row>
    <row r="1784" hidden="1" spans="1:14">
      <c r="A1784" s="235"/>
      <c r="B1784" s="230" t="s">
        <v>1039</v>
      </c>
      <c r="C1784" s="229">
        <v>16.224454</v>
      </c>
      <c r="D1784" s="229">
        <v>16.224454</v>
      </c>
      <c r="E1784" s="229">
        <v>16.224454</v>
      </c>
      <c r="F1784" s="229"/>
      <c r="G1784" s="229"/>
      <c r="H1784" s="229"/>
      <c r="I1784" s="229"/>
      <c r="J1784" s="229"/>
      <c r="K1784" s="229"/>
      <c r="L1784" s="229"/>
      <c r="M1784" s="229"/>
      <c r="N1784" s="232"/>
    </row>
    <row r="1785" hidden="1" spans="1:14">
      <c r="A1785" s="235"/>
      <c r="B1785" s="230" t="s">
        <v>1034</v>
      </c>
      <c r="C1785" s="229">
        <v>1.014</v>
      </c>
      <c r="D1785" s="229">
        <v>1.014</v>
      </c>
      <c r="E1785" s="229">
        <v>1.014</v>
      </c>
      <c r="F1785" s="229"/>
      <c r="G1785" s="229"/>
      <c r="H1785" s="229"/>
      <c r="I1785" s="229"/>
      <c r="J1785" s="229"/>
      <c r="K1785" s="229"/>
      <c r="L1785" s="229"/>
      <c r="M1785" s="229"/>
      <c r="N1785" s="232"/>
    </row>
    <row r="1786" hidden="1" spans="1:14">
      <c r="A1786" s="235"/>
      <c r="B1786" s="230" t="s">
        <v>1028</v>
      </c>
      <c r="C1786" s="229">
        <v>15.6</v>
      </c>
      <c r="D1786" s="229">
        <v>15.6</v>
      </c>
      <c r="E1786" s="229">
        <v>15.6</v>
      </c>
      <c r="F1786" s="229"/>
      <c r="G1786" s="229"/>
      <c r="H1786" s="229"/>
      <c r="I1786" s="229"/>
      <c r="J1786" s="229"/>
      <c r="K1786" s="229"/>
      <c r="L1786" s="229"/>
      <c r="M1786" s="229"/>
      <c r="N1786" s="232"/>
    </row>
    <row r="1787" hidden="1" spans="1:14">
      <c r="A1787" s="235"/>
      <c r="B1787" s="230" t="s">
        <v>1036</v>
      </c>
      <c r="C1787" s="229">
        <v>166.091858</v>
      </c>
      <c r="D1787" s="229">
        <v>166.091858</v>
      </c>
      <c r="E1787" s="229">
        <v>166.091858</v>
      </c>
      <c r="F1787" s="229"/>
      <c r="G1787" s="229"/>
      <c r="H1787" s="229"/>
      <c r="I1787" s="229"/>
      <c r="J1787" s="229"/>
      <c r="K1787" s="229"/>
      <c r="L1787" s="229"/>
      <c r="M1787" s="229"/>
      <c r="N1787" s="232"/>
    </row>
    <row r="1788" hidden="1" spans="1:14">
      <c r="A1788" s="235"/>
      <c r="B1788" s="230" t="s">
        <v>1033</v>
      </c>
      <c r="C1788" s="229">
        <v>238.059334</v>
      </c>
      <c r="D1788" s="229">
        <v>238.059334</v>
      </c>
      <c r="E1788" s="229">
        <v>238.059334</v>
      </c>
      <c r="F1788" s="229"/>
      <c r="G1788" s="229"/>
      <c r="H1788" s="229"/>
      <c r="I1788" s="229"/>
      <c r="J1788" s="229"/>
      <c r="K1788" s="229"/>
      <c r="L1788" s="229"/>
      <c r="M1788" s="229"/>
      <c r="N1788" s="232"/>
    </row>
    <row r="1789" hidden="1" spans="1:14">
      <c r="A1789" s="235"/>
      <c r="B1789" s="230" t="s">
        <v>1029</v>
      </c>
      <c r="C1789" s="229">
        <v>267.192</v>
      </c>
      <c r="D1789" s="229">
        <v>267.192</v>
      </c>
      <c r="E1789" s="229">
        <v>267.192</v>
      </c>
      <c r="F1789" s="229"/>
      <c r="G1789" s="229"/>
      <c r="H1789" s="229"/>
      <c r="I1789" s="229"/>
      <c r="J1789" s="229"/>
      <c r="K1789" s="229"/>
      <c r="L1789" s="229"/>
      <c r="M1789" s="229"/>
      <c r="N1789" s="232"/>
    </row>
    <row r="1790" hidden="1" spans="1:14">
      <c r="A1790" s="235"/>
      <c r="B1790" s="230" t="s">
        <v>1032</v>
      </c>
      <c r="C1790" s="229">
        <v>1384.098816</v>
      </c>
      <c r="D1790" s="229">
        <v>1384.098816</v>
      </c>
      <c r="E1790" s="229">
        <v>1384.098816</v>
      </c>
      <c r="F1790" s="229"/>
      <c r="G1790" s="229"/>
      <c r="H1790" s="229"/>
      <c r="I1790" s="229"/>
      <c r="J1790" s="229"/>
      <c r="K1790" s="229"/>
      <c r="L1790" s="229"/>
      <c r="M1790" s="229"/>
      <c r="N1790" s="232"/>
    </row>
    <row r="1791" hidden="1" spans="1:14">
      <c r="A1791" s="235"/>
      <c r="B1791" s="230" t="s">
        <v>1035</v>
      </c>
      <c r="C1791" s="229">
        <v>1.3</v>
      </c>
      <c r="D1791" s="229">
        <v>1.3</v>
      </c>
      <c r="E1791" s="229">
        <v>1.3</v>
      </c>
      <c r="F1791" s="229"/>
      <c r="G1791" s="229"/>
      <c r="H1791" s="229"/>
      <c r="I1791" s="229"/>
      <c r="J1791" s="229"/>
      <c r="K1791" s="229"/>
      <c r="L1791" s="229"/>
      <c r="M1791" s="229"/>
      <c r="N1791" s="232"/>
    </row>
    <row r="1792" spans="1:14">
      <c r="A1792" s="227" t="s">
        <v>1142</v>
      </c>
      <c r="B1792" s="231" t="s">
        <v>789</v>
      </c>
      <c r="C1792" s="229">
        <v>4371.656648</v>
      </c>
      <c r="D1792" s="229">
        <v>4371.656648</v>
      </c>
      <c r="E1792" s="229">
        <v>4371.656648</v>
      </c>
      <c r="F1792" s="229"/>
      <c r="G1792" s="229"/>
      <c r="H1792" s="229"/>
      <c r="I1792" s="229"/>
      <c r="J1792" s="229"/>
      <c r="K1792" s="229"/>
      <c r="L1792" s="229"/>
      <c r="M1792" s="229"/>
      <c r="N1792" s="233" t="s">
        <v>578</v>
      </c>
    </row>
    <row r="1793" hidden="1" spans="1:14">
      <c r="A1793" s="235"/>
      <c r="B1793" s="230" t="s">
        <v>1039</v>
      </c>
      <c r="C1793" s="229">
        <v>34.859344</v>
      </c>
      <c r="D1793" s="229">
        <v>34.859344</v>
      </c>
      <c r="E1793" s="229">
        <v>34.859344</v>
      </c>
      <c r="F1793" s="229"/>
      <c r="G1793" s="229"/>
      <c r="H1793" s="229"/>
      <c r="I1793" s="229"/>
      <c r="J1793" s="229"/>
      <c r="K1793" s="229"/>
      <c r="L1793" s="229"/>
      <c r="M1793" s="229"/>
      <c r="N1793" s="232"/>
    </row>
    <row r="1794" hidden="1" spans="1:14">
      <c r="A1794" s="235"/>
      <c r="B1794" s="230" t="s">
        <v>1034</v>
      </c>
      <c r="C1794" s="229">
        <v>4.056</v>
      </c>
      <c r="D1794" s="229">
        <v>4.056</v>
      </c>
      <c r="E1794" s="229">
        <v>4.056</v>
      </c>
      <c r="F1794" s="229"/>
      <c r="G1794" s="229"/>
      <c r="H1794" s="229"/>
      <c r="I1794" s="229"/>
      <c r="J1794" s="229"/>
      <c r="K1794" s="229"/>
      <c r="L1794" s="229"/>
      <c r="M1794" s="229"/>
      <c r="N1794" s="232"/>
    </row>
    <row r="1795" hidden="1" spans="1:14">
      <c r="A1795" s="235"/>
      <c r="B1795" s="230" t="s">
        <v>1036</v>
      </c>
      <c r="C1795" s="229">
        <v>355.042678</v>
      </c>
      <c r="D1795" s="229">
        <v>355.042678</v>
      </c>
      <c r="E1795" s="229">
        <v>355.042678</v>
      </c>
      <c r="F1795" s="229"/>
      <c r="G1795" s="229"/>
      <c r="H1795" s="229"/>
      <c r="I1795" s="229"/>
      <c r="J1795" s="229"/>
      <c r="K1795" s="229"/>
      <c r="L1795" s="229"/>
      <c r="M1795" s="229"/>
      <c r="N1795" s="232"/>
    </row>
    <row r="1796" hidden="1" spans="1:14">
      <c r="A1796" s="235"/>
      <c r="B1796" s="230" t="s">
        <v>1033</v>
      </c>
      <c r="C1796" s="229">
        <v>503.084282</v>
      </c>
      <c r="D1796" s="229">
        <v>503.084282</v>
      </c>
      <c r="E1796" s="229">
        <v>503.084282</v>
      </c>
      <c r="F1796" s="229"/>
      <c r="G1796" s="229"/>
      <c r="H1796" s="229"/>
      <c r="I1796" s="229"/>
      <c r="J1796" s="229"/>
      <c r="K1796" s="229"/>
      <c r="L1796" s="229"/>
      <c r="M1796" s="229"/>
      <c r="N1796" s="232"/>
    </row>
    <row r="1797" hidden="1" spans="1:14">
      <c r="A1797" s="235"/>
      <c r="B1797" s="230" t="s">
        <v>1029</v>
      </c>
      <c r="C1797" s="229">
        <v>526.562</v>
      </c>
      <c r="D1797" s="229">
        <v>526.562</v>
      </c>
      <c r="E1797" s="229">
        <v>526.562</v>
      </c>
      <c r="F1797" s="229"/>
      <c r="G1797" s="229"/>
      <c r="H1797" s="229"/>
      <c r="I1797" s="229"/>
      <c r="J1797" s="229"/>
      <c r="K1797" s="229"/>
      <c r="L1797" s="229"/>
      <c r="M1797" s="229"/>
      <c r="N1797" s="232"/>
    </row>
    <row r="1798" hidden="1" spans="1:14">
      <c r="A1798" s="235"/>
      <c r="B1798" s="230" t="s">
        <v>1032</v>
      </c>
      <c r="C1798" s="229">
        <v>2946.052344</v>
      </c>
      <c r="D1798" s="229">
        <v>2946.052344</v>
      </c>
      <c r="E1798" s="229">
        <v>2946.052344</v>
      </c>
      <c r="F1798" s="229"/>
      <c r="G1798" s="229"/>
      <c r="H1798" s="229"/>
      <c r="I1798" s="229"/>
      <c r="J1798" s="229"/>
      <c r="K1798" s="229"/>
      <c r="L1798" s="229"/>
      <c r="M1798" s="229"/>
      <c r="N1798" s="232"/>
    </row>
    <row r="1799" hidden="1" spans="1:14">
      <c r="A1799" s="235"/>
      <c r="B1799" s="230" t="s">
        <v>1027</v>
      </c>
      <c r="C1799" s="229">
        <v>2</v>
      </c>
      <c r="D1799" s="229">
        <v>2</v>
      </c>
      <c r="E1799" s="229">
        <v>2</v>
      </c>
      <c r="F1799" s="229"/>
      <c r="G1799" s="229"/>
      <c r="H1799" s="229"/>
      <c r="I1799" s="229"/>
      <c r="J1799" s="229"/>
      <c r="K1799" s="229"/>
      <c r="L1799" s="229"/>
      <c r="M1799" s="229"/>
      <c r="N1799" s="232"/>
    </row>
    <row r="1800" spans="1:14">
      <c r="A1800" s="227" t="s">
        <v>1143</v>
      </c>
      <c r="B1800" s="231" t="s">
        <v>790</v>
      </c>
      <c r="C1800" s="229">
        <v>3862.288159</v>
      </c>
      <c r="D1800" s="229">
        <v>3862.288159</v>
      </c>
      <c r="E1800" s="229">
        <v>3862.288159</v>
      </c>
      <c r="F1800" s="229"/>
      <c r="G1800" s="229"/>
      <c r="H1800" s="229"/>
      <c r="I1800" s="229"/>
      <c r="J1800" s="229"/>
      <c r="K1800" s="229"/>
      <c r="L1800" s="229"/>
      <c r="M1800" s="229"/>
      <c r="N1800" s="233" t="s">
        <v>578</v>
      </c>
    </row>
    <row r="1801" hidden="1" spans="1:14">
      <c r="A1801" s="235"/>
      <c r="B1801" s="230" t="s">
        <v>1037</v>
      </c>
      <c r="C1801" s="229">
        <v>0.18</v>
      </c>
      <c r="D1801" s="229">
        <v>0.18</v>
      </c>
      <c r="E1801" s="229">
        <v>0.18</v>
      </c>
      <c r="F1801" s="229"/>
      <c r="G1801" s="229"/>
      <c r="H1801" s="229"/>
      <c r="I1801" s="229"/>
      <c r="J1801" s="229"/>
      <c r="K1801" s="229"/>
      <c r="L1801" s="229"/>
      <c r="M1801" s="229"/>
      <c r="N1801" s="232"/>
    </row>
    <row r="1802" hidden="1" spans="1:14">
      <c r="A1802" s="235"/>
      <c r="B1802" s="230" t="s">
        <v>1039</v>
      </c>
      <c r="C1802" s="229">
        <v>33.465511</v>
      </c>
      <c r="D1802" s="229">
        <v>33.465511</v>
      </c>
      <c r="E1802" s="229">
        <v>33.465511</v>
      </c>
      <c r="F1802" s="229"/>
      <c r="G1802" s="229"/>
      <c r="H1802" s="229"/>
      <c r="I1802" s="229"/>
      <c r="J1802" s="229"/>
      <c r="K1802" s="229"/>
      <c r="L1802" s="229"/>
      <c r="M1802" s="229"/>
      <c r="N1802" s="232"/>
    </row>
    <row r="1803" hidden="1" spans="1:14">
      <c r="A1803" s="235"/>
      <c r="B1803" s="230" t="s">
        <v>1034</v>
      </c>
      <c r="C1803" s="229">
        <v>2.028</v>
      </c>
      <c r="D1803" s="229">
        <v>2.028</v>
      </c>
      <c r="E1803" s="229">
        <v>2.028</v>
      </c>
      <c r="F1803" s="229"/>
      <c r="G1803" s="229"/>
      <c r="H1803" s="229"/>
      <c r="I1803" s="229"/>
      <c r="J1803" s="229"/>
      <c r="K1803" s="229"/>
      <c r="L1803" s="229"/>
      <c r="M1803" s="229"/>
      <c r="N1803" s="232"/>
    </row>
    <row r="1804" hidden="1" spans="1:14">
      <c r="A1804" s="235"/>
      <c r="B1804" s="230" t="s">
        <v>1028</v>
      </c>
      <c r="C1804" s="229">
        <v>7.2</v>
      </c>
      <c r="D1804" s="229">
        <v>7.2</v>
      </c>
      <c r="E1804" s="229">
        <v>7.2</v>
      </c>
      <c r="F1804" s="229"/>
      <c r="G1804" s="229"/>
      <c r="H1804" s="229"/>
      <c r="I1804" s="229"/>
      <c r="J1804" s="229"/>
      <c r="K1804" s="229"/>
      <c r="L1804" s="229"/>
      <c r="M1804" s="229"/>
      <c r="N1804" s="232"/>
    </row>
    <row r="1805" hidden="1" spans="1:14">
      <c r="A1805" s="235"/>
      <c r="B1805" s="230" t="s">
        <v>1038</v>
      </c>
      <c r="C1805" s="229">
        <v>0.09</v>
      </c>
      <c r="D1805" s="229">
        <v>0.09</v>
      </c>
      <c r="E1805" s="229">
        <v>0.09</v>
      </c>
      <c r="F1805" s="229"/>
      <c r="G1805" s="229"/>
      <c r="H1805" s="229"/>
      <c r="I1805" s="229"/>
      <c r="J1805" s="229"/>
      <c r="K1805" s="229"/>
      <c r="L1805" s="229"/>
      <c r="M1805" s="229"/>
      <c r="N1805" s="232"/>
    </row>
    <row r="1806" hidden="1" spans="1:14">
      <c r="A1806" s="235"/>
      <c r="B1806" s="230" t="s">
        <v>1036</v>
      </c>
      <c r="C1806" s="229">
        <v>318.33322</v>
      </c>
      <c r="D1806" s="229">
        <v>318.33322</v>
      </c>
      <c r="E1806" s="229">
        <v>318.33322</v>
      </c>
      <c r="F1806" s="229"/>
      <c r="G1806" s="229"/>
      <c r="H1806" s="229"/>
      <c r="I1806" s="229"/>
      <c r="J1806" s="229"/>
      <c r="K1806" s="229"/>
      <c r="L1806" s="229"/>
      <c r="M1806" s="229"/>
      <c r="N1806" s="232"/>
    </row>
    <row r="1807" hidden="1" spans="1:14">
      <c r="A1807" s="235"/>
      <c r="B1807" s="230" t="s">
        <v>1033</v>
      </c>
      <c r="C1807" s="229">
        <v>488.342592</v>
      </c>
      <c r="D1807" s="229">
        <v>488.342592</v>
      </c>
      <c r="E1807" s="229">
        <v>488.342592</v>
      </c>
      <c r="F1807" s="229"/>
      <c r="G1807" s="229"/>
      <c r="H1807" s="229"/>
      <c r="I1807" s="229"/>
      <c r="J1807" s="229"/>
      <c r="K1807" s="229"/>
      <c r="L1807" s="229"/>
      <c r="M1807" s="229"/>
      <c r="N1807" s="232"/>
    </row>
    <row r="1808" hidden="1" spans="1:14">
      <c r="A1808" s="235"/>
      <c r="B1808" s="230" t="s">
        <v>1029</v>
      </c>
      <c r="C1808" s="229">
        <v>357.242</v>
      </c>
      <c r="D1808" s="229">
        <v>357.242</v>
      </c>
      <c r="E1808" s="229">
        <v>357.242</v>
      </c>
      <c r="F1808" s="229"/>
      <c r="G1808" s="229"/>
      <c r="H1808" s="229"/>
      <c r="I1808" s="229"/>
      <c r="J1808" s="229"/>
      <c r="K1808" s="229"/>
      <c r="L1808" s="229"/>
      <c r="M1808" s="229"/>
      <c r="N1808" s="232"/>
    </row>
    <row r="1809" hidden="1" spans="1:14">
      <c r="A1809" s="235"/>
      <c r="B1809" s="230" t="s">
        <v>1032</v>
      </c>
      <c r="C1809" s="229">
        <v>2652.806836</v>
      </c>
      <c r="D1809" s="229">
        <v>2652.806836</v>
      </c>
      <c r="E1809" s="229">
        <v>2652.806836</v>
      </c>
      <c r="F1809" s="229"/>
      <c r="G1809" s="229"/>
      <c r="H1809" s="229"/>
      <c r="I1809" s="229"/>
      <c r="J1809" s="229"/>
      <c r="K1809" s="229"/>
      <c r="L1809" s="229"/>
      <c r="M1809" s="229"/>
      <c r="N1809" s="232"/>
    </row>
    <row r="1810" hidden="1" spans="1:14">
      <c r="A1810" s="235"/>
      <c r="B1810" s="230" t="s">
        <v>1035</v>
      </c>
      <c r="C1810" s="229">
        <v>0.6</v>
      </c>
      <c r="D1810" s="229">
        <v>0.6</v>
      </c>
      <c r="E1810" s="229">
        <v>0.6</v>
      </c>
      <c r="F1810" s="229"/>
      <c r="G1810" s="229"/>
      <c r="H1810" s="229"/>
      <c r="I1810" s="229"/>
      <c r="J1810" s="229"/>
      <c r="K1810" s="229"/>
      <c r="L1810" s="229"/>
      <c r="M1810" s="229"/>
      <c r="N1810" s="232"/>
    </row>
    <row r="1811" hidden="1" spans="1:14">
      <c r="A1811" s="235"/>
      <c r="B1811" s="230" t="s">
        <v>1027</v>
      </c>
      <c r="C1811" s="229">
        <v>2</v>
      </c>
      <c r="D1811" s="229">
        <v>2</v>
      </c>
      <c r="E1811" s="229">
        <v>2</v>
      </c>
      <c r="F1811" s="229"/>
      <c r="G1811" s="229"/>
      <c r="H1811" s="229"/>
      <c r="I1811" s="229"/>
      <c r="J1811" s="229"/>
      <c r="K1811" s="229"/>
      <c r="L1811" s="229"/>
      <c r="M1811" s="229"/>
      <c r="N1811" s="232"/>
    </row>
    <row r="1812" spans="1:14">
      <c r="A1812" s="227" t="s">
        <v>1144</v>
      </c>
      <c r="B1812" s="231" t="s">
        <v>791</v>
      </c>
      <c r="C1812" s="229">
        <v>1508.496526</v>
      </c>
      <c r="D1812" s="229">
        <v>1508.496526</v>
      </c>
      <c r="E1812" s="229">
        <v>1508.496526</v>
      </c>
      <c r="F1812" s="229"/>
      <c r="G1812" s="229"/>
      <c r="H1812" s="229"/>
      <c r="I1812" s="229"/>
      <c r="J1812" s="229"/>
      <c r="K1812" s="229"/>
      <c r="L1812" s="229"/>
      <c r="M1812" s="229"/>
      <c r="N1812" s="233" t="s">
        <v>578</v>
      </c>
    </row>
    <row r="1813" hidden="1" spans="1:14">
      <c r="A1813" s="235"/>
      <c r="B1813" s="230" t="s">
        <v>1036</v>
      </c>
      <c r="C1813" s="229">
        <v>115.423302</v>
      </c>
      <c r="D1813" s="229">
        <v>115.423302</v>
      </c>
      <c r="E1813" s="229">
        <v>115.423302</v>
      </c>
      <c r="F1813" s="229"/>
      <c r="G1813" s="229"/>
      <c r="H1813" s="229"/>
      <c r="I1813" s="229"/>
      <c r="J1813" s="229"/>
      <c r="K1813" s="229"/>
      <c r="L1813" s="229"/>
      <c r="M1813" s="229"/>
      <c r="N1813" s="232"/>
    </row>
    <row r="1814" hidden="1" spans="1:14">
      <c r="A1814" s="235"/>
      <c r="B1814" s="230" t="s">
        <v>1033</v>
      </c>
      <c r="C1814" s="229">
        <v>165.461273</v>
      </c>
      <c r="D1814" s="229">
        <v>165.461273</v>
      </c>
      <c r="E1814" s="229">
        <v>165.461273</v>
      </c>
      <c r="F1814" s="229"/>
      <c r="G1814" s="229"/>
      <c r="H1814" s="229"/>
      <c r="I1814" s="229"/>
      <c r="J1814" s="229"/>
      <c r="K1814" s="229"/>
      <c r="L1814" s="229"/>
      <c r="M1814" s="229"/>
      <c r="N1814" s="232"/>
    </row>
    <row r="1815" hidden="1" spans="1:14">
      <c r="A1815" s="235"/>
      <c r="B1815" s="230" t="s">
        <v>1029</v>
      </c>
      <c r="C1815" s="229">
        <v>254.298</v>
      </c>
      <c r="D1815" s="229">
        <v>254.298</v>
      </c>
      <c r="E1815" s="229">
        <v>254.298</v>
      </c>
      <c r="F1815" s="229"/>
      <c r="G1815" s="229"/>
      <c r="H1815" s="229"/>
      <c r="I1815" s="229"/>
      <c r="J1815" s="229"/>
      <c r="K1815" s="229"/>
      <c r="L1815" s="229"/>
      <c r="M1815" s="229"/>
      <c r="N1815" s="232"/>
    </row>
    <row r="1816" hidden="1" spans="1:14">
      <c r="A1816" s="235"/>
      <c r="B1816" s="230" t="s">
        <v>1032</v>
      </c>
      <c r="C1816" s="229">
        <v>961.860852</v>
      </c>
      <c r="D1816" s="229">
        <v>961.860852</v>
      </c>
      <c r="E1816" s="229">
        <v>961.860852</v>
      </c>
      <c r="F1816" s="229"/>
      <c r="G1816" s="229"/>
      <c r="H1816" s="229"/>
      <c r="I1816" s="229"/>
      <c r="J1816" s="229"/>
      <c r="K1816" s="229"/>
      <c r="L1816" s="229"/>
      <c r="M1816" s="229"/>
      <c r="N1816" s="232"/>
    </row>
    <row r="1817" hidden="1" spans="1:14">
      <c r="A1817" s="235"/>
      <c r="B1817" s="230" t="s">
        <v>1039</v>
      </c>
      <c r="C1817" s="229">
        <v>11.453099</v>
      </c>
      <c r="D1817" s="229">
        <v>11.453099</v>
      </c>
      <c r="E1817" s="229">
        <v>11.453099</v>
      </c>
      <c r="F1817" s="229"/>
      <c r="G1817" s="229"/>
      <c r="H1817" s="229"/>
      <c r="I1817" s="229"/>
      <c r="J1817" s="229"/>
      <c r="K1817" s="229"/>
      <c r="L1817" s="229"/>
      <c r="M1817" s="229"/>
      <c r="N1817" s="232"/>
    </row>
    <row r="1818" spans="1:14">
      <c r="A1818" s="227" t="s">
        <v>1145</v>
      </c>
      <c r="B1818" s="231" t="s">
        <v>792</v>
      </c>
      <c r="C1818" s="229">
        <v>1625.258289</v>
      </c>
      <c r="D1818" s="229">
        <v>1625.258289</v>
      </c>
      <c r="E1818" s="229">
        <v>1625.258289</v>
      </c>
      <c r="F1818" s="229"/>
      <c r="G1818" s="229"/>
      <c r="H1818" s="229"/>
      <c r="I1818" s="229"/>
      <c r="J1818" s="229"/>
      <c r="K1818" s="229"/>
      <c r="L1818" s="229"/>
      <c r="M1818" s="229"/>
      <c r="N1818" s="233" t="s">
        <v>578</v>
      </c>
    </row>
    <row r="1819" hidden="1" spans="1:14">
      <c r="A1819" s="235"/>
      <c r="B1819" s="230" t="s">
        <v>1029</v>
      </c>
      <c r="C1819" s="229">
        <v>245.654</v>
      </c>
      <c r="D1819" s="229">
        <v>245.654</v>
      </c>
      <c r="E1819" s="229">
        <v>245.654</v>
      </c>
      <c r="F1819" s="229"/>
      <c r="G1819" s="229"/>
      <c r="H1819" s="229"/>
      <c r="I1819" s="229"/>
      <c r="J1819" s="229"/>
      <c r="K1819" s="229"/>
      <c r="L1819" s="229"/>
      <c r="M1819" s="229"/>
      <c r="N1819" s="232"/>
    </row>
    <row r="1820" hidden="1" spans="1:14">
      <c r="A1820" s="235"/>
      <c r="B1820" s="230" t="s">
        <v>1032</v>
      </c>
      <c r="C1820" s="229">
        <v>1007.47302</v>
      </c>
      <c r="D1820" s="229">
        <v>1007.47302</v>
      </c>
      <c r="E1820" s="229">
        <v>1007.47302</v>
      </c>
      <c r="F1820" s="229"/>
      <c r="G1820" s="229"/>
      <c r="H1820" s="229"/>
      <c r="I1820" s="229"/>
      <c r="J1820" s="229"/>
      <c r="K1820" s="229"/>
      <c r="L1820" s="229"/>
      <c r="M1820" s="229"/>
      <c r="N1820" s="232"/>
    </row>
    <row r="1821" hidden="1" spans="1:14">
      <c r="A1821" s="235"/>
      <c r="B1821" s="230" t="s">
        <v>1035</v>
      </c>
      <c r="C1821" s="229">
        <v>3.8</v>
      </c>
      <c r="D1821" s="229">
        <v>3.8</v>
      </c>
      <c r="E1821" s="229">
        <v>3.8</v>
      </c>
      <c r="F1821" s="229"/>
      <c r="G1821" s="229"/>
      <c r="H1821" s="229"/>
      <c r="I1821" s="229"/>
      <c r="J1821" s="229"/>
      <c r="K1821" s="229"/>
      <c r="L1821" s="229"/>
      <c r="M1821" s="229"/>
      <c r="N1821" s="232"/>
    </row>
    <row r="1822" hidden="1" spans="1:14">
      <c r="A1822" s="235"/>
      <c r="B1822" s="230" t="s">
        <v>1037</v>
      </c>
      <c r="C1822" s="229">
        <v>1.14</v>
      </c>
      <c r="D1822" s="229">
        <v>1.14</v>
      </c>
      <c r="E1822" s="229">
        <v>1.14</v>
      </c>
      <c r="F1822" s="229"/>
      <c r="G1822" s="229"/>
      <c r="H1822" s="229"/>
      <c r="I1822" s="229"/>
      <c r="J1822" s="229"/>
      <c r="K1822" s="229"/>
      <c r="L1822" s="229"/>
      <c r="M1822" s="229"/>
      <c r="N1822" s="232"/>
    </row>
    <row r="1823" hidden="1" spans="1:14">
      <c r="A1823" s="235"/>
      <c r="B1823" s="230" t="s">
        <v>1039</v>
      </c>
      <c r="C1823" s="229">
        <v>11.533622</v>
      </c>
      <c r="D1823" s="229">
        <v>11.533622</v>
      </c>
      <c r="E1823" s="229">
        <v>11.533622</v>
      </c>
      <c r="F1823" s="229"/>
      <c r="G1823" s="229"/>
      <c r="H1823" s="229"/>
      <c r="I1823" s="229"/>
      <c r="J1823" s="229"/>
      <c r="K1823" s="229"/>
      <c r="L1823" s="229"/>
      <c r="M1823" s="229"/>
      <c r="N1823" s="232"/>
    </row>
    <row r="1824" hidden="1" spans="1:14">
      <c r="A1824" s="235"/>
      <c r="B1824" s="230" t="s">
        <v>1034</v>
      </c>
      <c r="C1824" s="229">
        <v>14.196</v>
      </c>
      <c r="D1824" s="229">
        <v>14.196</v>
      </c>
      <c r="E1824" s="229">
        <v>14.196</v>
      </c>
      <c r="F1824" s="229"/>
      <c r="G1824" s="229"/>
      <c r="H1824" s="229"/>
      <c r="I1824" s="229"/>
      <c r="J1824" s="229"/>
      <c r="K1824" s="229"/>
      <c r="L1824" s="229"/>
      <c r="M1824" s="229"/>
      <c r="N1824" s="232"/>
    </row>
    <row r="1825" hidden="1" spans="1:14">
      <c r="A1825" s="235"/>
      <c r="B1825" s="230" t="s">
        <v>1028</v>
      </c>
      <c r="C1825" s="229">
        <v>45.6</v>
      </c>
      <c r="D1825" s="229">
        <v>45.6</v>
      </c>
      <c r="E1825" s="229">
        <v>45.6</v>
      </c>
      <c r="F1825" s="229"/>
      <c r="G1825" s="229"/>
      <c r="H1825" s="229"/>
      <c r="I1825" s="229"/>
      <c r="J1825" s="229"/>
      <c r="K1825" s="229"/>
      <c r="L1825" s="229"/>
      <c r="M1825" s="229"/>
      <c r="N1825" s="232"/>
    </row>
    <row r="1826" hidden="1" spans="1:14">
      <c r="A1826" s="235"/>
      <c r="B1826" s="230" t="s">
        <v>1036</v>
      </c>
      <c r="C1826" s="229">
        <v>117.480758</v>
      </c>
      <c r="D1826" s="229">
        <v>117.480758</v>
      </c>
      <c r="E1826" s="229">
        <v>117.480758</v>
      </c>
      <c r="F1826" s="229"/>
      <c r="G1826" s="229"/>
      <c r="H1826" s="229"/>
      <c r="I1826" s="229"/>
      <c r="J1826" s="229"/>
      <c r="K1826" s="229"/>
      <c r="L1826" s="229"/>
      <c r="M1826" s="229"/>
      <c r="N1826" s="232"/>
    </row>
    <row r="1827" hidden="1" spans="1:14">
      <c r="A1827" s="235"/>
      <c r="B1827" s="230" t="s">
        <v>1033</v>
      </c>
      <c r="C1827" s="229">
        <v>178.380889</v>
      </c>
      <c r="D1827" s="229">
        <v>178.380889</v>
      </c>
      <c r="E1827" s="229">
        <v>178.380889</v>
      </c>
      <c r="F1827" s="229"/>
      <c r="G1827" s="229"/>
      <c r="H1827" s="229"/>
      <c r="I1827" s="229"/>
      <c r="J1827" s="229"/>
      <c r="K1827" s="229"/>
      <c r="L1827" s="229"/>
      <c r="M1827" s="229"/>
      <c r="N1827" s="232"/>
    </row>
    <row r="1828" spans="1:14">
      <c r="A1828" s="227" t="s">
        <v>1146</v>
      </c>
      <c r="B1828" s="231" t="s">
        <v>793</v>
      </c>
      <c r="C1828" s="229">
        <v>1738.965576</v>
      </c>
      <c r="D1828" s="229">
        <v>1738.965576</v>
      </c>
      <c r="E1828" s="229">
        <v>1738.965576</v>
      </c>
      <c r="F1828" s="229"/>
      <c r="G1828" s="229"/>
      <c r="H1828" s="229"/>
      <c r="I1828" s="229"/>
      <c r="J1828" s="229"/>
      <c r="K1828" s="229"/>
      <c r="L1828" s="229"/>
      <c r="M1828" s="229"/>
      <c r="N1828" s="233" t="s">
        <v>578</v>
      </c>
    </row>
    <row r="1829" hidden="1" spans="1:14">
      <c r="A1829" s="235"/>
      <c r="B1829" s="230" t="s">
        <v>1039</v>
      </c>
      <c r="C1829" s="229">
        <v>13.703282</v>
      </c>
      <c r="D1829" s="229">
        <v>13.703282</v>
      </c>
      <c r="E1829" s="229">
        <v>13.703282</v>
      </c>
      <c r="F1829" s="229"/>
      <c r="G1829" s="229"/>
      <c r="H1829" s="229"/>
      <c r="I1829" s="229"/>
      <c r="J1829" s="229"/>
      <c r="K1829" s="229"/>
      <c r="L1829" s="229"/>
      <c r="M1829" s="229"/>
      <c r="N1829" s="232"/>
    </row>
    <row r="1830" hidden="1" spans="1:14">
      <c r="A1830" s="235"/>
      <c r="B1830" s="230" t="s">
        <v>1028</v>
      </c>
      <c r="C1830" s="229">
        <v>7.2</v>
      </c>
      <c r="D1830" s="229">
        <v>7.2</v>
      </c>
      <c r="E1830" s="229">
        <v>7.2</v>
      </c>
      <c r="F1830" s="229"/>
      <c r="G1830" s="229"/>
      <c r="H1830" s="229"/>
      <c r="I1830" s="229"/>
      <c r="J1830" s="229"/>
      <c r="K1830" s="229"/>
      <c r="L1830" s="229"/>
      <c r="M1830" s="229"/>
      <c r="N1830" s="232"/>
    </row>
    <row r="1831" hidden="1" spans="1:14">
      <c r="A1831" s="235"/>
      <c r="B1831" s="230" t="s">
        <v>1038</v>
      </c>
      <c r="C1831" s="229">
        <v>0.03</v>
      </c>
      <c r="D1831" s="229">
        <v>0.03</v>
      </c>
      <c r="E1831" s="229">
        <v>0.03</v>
      </c>
      <c r="F1831" s="229"/>
      <c r="G1831" s="229"/>
      <c r="H1831" s="229"/>
      <c r="I1831" s="229"/>
      <c r="J1831" s="229"/>
      <c r="K1831" s="229"/>
      <c r="L1831" s="229"/>
      <c r="M1831" s="229"/>
      <c r="N1831" s="232"/>
    </row>
    <row r="1832" hidden="1" spans="1:14">
      <c r="A1832" s="235"/>
      <c r="B1832" s="230" t="s">
        <v>1036</v>
      </c>
      <c r="C1832" s="229">
        <v>137.320752</v>
      </c>
      <c r="D1832" s="229">
        <v>137.320752</v>
      </c>
      <c r="E1832" s="229">
        <v>137.320752</v>
      </c>
      <c r="F1832" s="229"/>
      <c r="G1832" s="229"/>
      <c r="H1832" s="229"/>
      <c r="I1832" s="229"/>
      <c r="J1832" s="229"/>
      <c r="K1832" s="229"/>
      <c r="L1832" s="229"/>
      <c r="M1832" s="229"/>
      <c r="N1832" s="232"/>
    </row>
    <row r="1833" hidden="1" spans="1:14">
      <c r="A1833" s="235"/>
      <c r="B1833" s="230" t="s">
        <v>1033</v>
      </c>
      <c r="C1833" s="229">
        <v>199.847946</v>
      </c>
      <c r="D1833" s="229">
        <v>199.847946</v>
      </c>
      <c r="E1833" s="229">
        <v>199.847946</v>
      </c>
      <c r="F1833" s="229"/>
      <c r="G1833" s="229"/>
      <c r="H1833" s="229"/>
      <c r="I1833" s="229"/>
      <c r="J1833" s="229"/>
      <c r="K1833" s="229"/>
      <c r="L1833" s="229"/>
      <c r="M1833" s="229"/>
      <c r="N1833" s="232"/>
    </row>
    <row r="1834" hidden="1" spans="1:14">
      <c r="A1834" s="235"/>
      <c r="B1834" s="230" t="s">
        <v>1029</v>
      </c>
      <c r="C1834" s="229">
        <v>235.744</v>
      </c>
      <c r="D1834" s="229">
        <v>235.744</v>
      </c>
      <c r="E1834" s="229">
        <v>235.744</v>
      </c>
      <c r="F1834" s="229"/>
      <c r="G1834" s="229"/>
      <c r="H1834" s="229"/>
      <c r="I1834" s="229"/>
      <c r="J1834" s="229"/>
      <c r="K1834" s="229"/>
      <c r="L1834" s="229"/>
      <c r="M1834" s="229"/>
      <c r="N1834" s="232"/>
    </row>
    <row r="1835" hidden="1" spans="1:14">
      <c r="A1835" s="235"/>
      <c r="B1835" s="230" t="s">
        <v>1032</v>
      </c>
      <c r="C1835" s="229">
        <v>1144.339596</v>
      </c>
      <c r="D1835" s="229">
        <v>1144.339596</v>
      </c>
      <c r="E1835" s="229">
        <v>1144.339596</v>
      </c>
      <c r="F1835" s="229"/>
      <c r="G1835" s="229"/>
      <c r="H1835" s="229"/>
      <c r="I1835" s="229"/>
      <c r="J1835" s="229"/>
      <c r="K1835" s="229"/>
      <c r="L1835" s="229"/>
      <c r="M1835" s="229"/>
      <c r="N1835" s="232"/>
    </row>
    <row r="1836" hidden="1" spans="1:14">
      <c r="A1836" s="235"/>
      <c r="B1836" s="230" t="s">
        <v>1035</v>
      </c>
      <c r="C1836" s="229">
        <v>0.6</v>
      </c>
      <c r="D1836" s="229">
        <v>0.6</v>
      </c>
      <c r="E1836" s="229">
        <v>0.6</v>
      </c>
      <c r="F1836" s="229"/>
      <c r="G1836" s="229"/>
      <c r="H1836" s="229"/>
      <c r="I1836" s="229"/>
      <c r="J1836" s="229"/>
      <c r="K1836" s="229"/>
      <c r="L1836" s="229"/>
      <c r="M1836" s="229"/>
      <c r="N1836" s="232"/>
    </row>
    <row r="1837" hidden="1" spans="1:14">
      <c r="A1837" s="235"/>
      <c r="B1837" s="230" t="s">
        <v>1037</v>
      </c>
      <c r="C1837" s="229">
        <v>0.18</v>
      </c>
      <c r="D1837" s="229">
        <v>0.18</v>
      </c>
      <c r="E1837" s="229">
        <v>0.18</v>
      </c>
      <c r="F1837" s="229"/>
      <c r="G1837" s="229"/>
      <c r="H1837" s="229"/>
      <c r="I1837" s="229"/>
      <c r="J1837" s="229"/>
      <c r="K1837" s="229"/>
      <c r="L1837" s="229"/>
      <c r="M1837" s="229"/>
      <c r="N1837" s="232"/>
    </row>
    <row r="1838" spans="1:14">
      <c r="A1838" s="227" t="s">
        <v>1147</v>
      </c>
      <c r="B1838" s="231" t="s">
        <v>794</v>
      </c>
      <c r="C1838" s="229">
        <v>1730.132537</v>
      </c>
      <c r="D1838" s="229">
        <v>1730.132537</v>
      </c>
      <c r="E1838" s="229">
        <v>1730.132537</v>
      </c>
      <c r="F1838" s="229"/>
      <c r="G1838" s="229"/>
      <c r="H1838" s="229"/>
      <c r="I1838" s="229"/>
      <c r="J1838" s="229"/>
      <c r="K1838" s="229"/>
      <c r="L1838" s="229"/>
      <c r="M1838" s="229"/>
      <c r="N1838" s="233" t="s">
        <v>578</v>
      </c>
    </row>
    <row r="1839" hidden="1" spans="1:14">
      <c r="A1839" s="235"/>
      <c r="B1839" s="230" t="s">
        <v>1039</v>
      </c>
      <c r="C1839" s="229">
        <v>14.703846</v>
      </c>
      <c r="D1839" s="229">
        <v>14.703846</v>
      </c>
      <c r="E1839" s="229">
        <v>14.703846</v>
      </c>
      <c r="F1839" s="229"/>
      <c r="G1839" s="229"/>
      <c r="H1839" s="229"/>
      <c r="I1839" s="229"/>
      <c r="J1839" s="229"/>
      <c r="K1839" s="229"/>
      <c r="L1839" s="229"/>
      <c r="M1839" s="229"/>
      <c r="N1839" s="232"/>
    </row>
    <row r="1840" hidden="1" spans="1:14">
      <c r="A1840" s="235"/>
      <c r="B1840" s="230" t="s">
        <v>1028</v>
      </c>
      <c r="C1840" s="229">
        <v>13.2</v>
      </c>
      <c r="D1840" s="229">
        <v>13.2</v>
      </c>
      <c r="E1840" s="229">
        <v>13.2</v>
      </c>
      <c r="F1840" s="229"/>
      <c r="G1840" s="229"/>
      <c r="H1840" s="229"/>
      <c r="I1840" s="229"/>
      <c r="J1840" s="229"/>
      <c r="K1840" s="229"/>
      <c r="L1840" s="229"/>
      <c r="M1840" s="229"/>
      <c r="N1840" s="232"/>
    </row>
    <row r="1841" hidden="1" spans="1:14">
      <c r="A1841" s="235"/>
      <c r="B1841" s="230" t="s">
        <v>1036</v>
      </c>
      <c r="C1841" s="229">
        <v>142.274592</v>
      </c>
      <c r="D1841" s="229">
        <v>142.274592</v>
      </c>
      <c r="E1841" s="229">
        <v>142.274592</v>
      </c>
      <c r="F1841" s="229"/>
      <c r="G1841" s="229"/>
      <c r="H1841" s="229"/>
      <c r="I1841" s="229"/>
      <c r="J1841" s="229"/>
      <c r="K1841" s="229"/>
      <c r="L1841" s="229"/>
      <c r="M1841" s="229"/>
      <c r="N1841" s="232"/>
    </row>
    <row r="1842" hidden="1" spans="1:14">
      <c r="A1842" s="235"/>
      <c r="B1842" s="230" t="s">
        <v>1033</v>
      </c>
      <c r="C1842" s="229">
        <v>217.214499</v>
      </c>
      <c r="D1842" s="229">
        <v>217.214499</v>
      </c>
      <c r="E1842" s="229">
        <v>217.214499</v>
      </c>
      <c r="F1842" s="229"/>
      <c r="G1842" s="229"/>
      <c r="H1842" s="229"/>
      <c r="I1842" s="229"/>
      <c r="J1842" s="229"/>
      <c r="K1842" s="229"/>
      <c r="L1842" s="229"/>
      <c r="M1842" s="229"/>
      <c r="N1842" s="232"/>
    </row>
    <row r="1843" hidden="1" spans="1:14">
      <c r="A1843" s="235"/>
      <c r="B1843" s="230" t="s">
        <v>1029</v>
      </c>
      <c r="C1843" s="229">
        <v>155.688</v>
      </c>
      <c r="D1843" s="229">
        <v>155.688</v>
      </c>
      <c r="E1843" s="229">
        <v>155.688</v>
      </c>
      <c r="F1843" s="229"/>
      <c r="G1843" s="229"/>
      <c r="H1843" s="229"/>
      <c r="I1843" s="229"/>
      <c r="J1843" s="229"/>
      <c r="K1843" s="229"/>
      <c r="L1843" s="229"/>
      <c r="M1843" s="229"/>
      <c r="N1843" s="232"/>
    </row>
    <row r="1844" hidden="1" spans="1:14">
      <c r="A1844" s="235"/>
      <c r="B1844" s="230" t="s">
        <v>1035</v>
      </c>
      <c r="C1844" s="229">
        <v>1.1</v>
      </c>
      <c r="D1844" s="229">
        <v>1.1</v>
      </c>
      <c r="E1844" s="229">
        <v>1.1</v>
      </c>
      <c r="F1844" s="229"/>
      <c r="G1844" s="229"/>
      <c r="H1844" s="229"/>
      <c r="I1844" s="229"/>
      <c r="J1844" s="229"/>
      <c r="K1844" s="229"/>
      <c r="L1844" s="229"/>
      <c r="M1844" s="229"/>
      <c r="N1844" s="232"/>
    </row>
    <row r="1845" hidden="1" spans="1:14">
      <c r="A1845" s="235"/>
      <c r="B1845" s="230" t="s">
        <v>1032</v>
      </c>
      <c r="C1845" s="229">
        <v>1185.6216</v>
      </c>
      <c r="D1845" s="229">
        <v>1185.6216</v>
      </c>
      <c r="E1845" s="229">
        <v>1185.6216</v>
      </c>
      <c r="F1845" s="229"/>
      <c r="G1845" s="229"/>
      <c r="H1845" s="229"/>
      <c r="I1845" s="229"/>
      <c r="J1845" s="229"/>
      <c r="K1845" s="229"/>
      <c r="L1845" s="229"/>
      <c r="M1845" s="229"/>
      <c r="N1845" s="232"/>
    </row>
    <row r="1846" hidden="1" spans="1:14">
      <c r="A1846" s="235"/>
      <c r="B1846" s="230" t="s">
        <v>1037</v>
      </c>
      <c r="C1846" s="229">
        <v>0.33</v>
      </c>
      <c r="D1846" s="229">
        <v>0.33</v>
      </c>
      <c r="E1846" s="229">
        <v>0.33</v>
      </c>
      <c r="F1846" s="229"/>
      <c r="G1846" s="229"/>
      <c r="H1846" s="229"/>
      <c r="I1846" s="229"/>
      <c r="J1846" s="229"/>
      <c r="K1846" s="229"/>
      <c r="L1846" s="229"/>
      <c r="M1846" s="229"/>
      <c r="N1846" s="232"/>
    </row>
    <row r="1847" spans="1:14">
      <c r="A1847" s="227" t="s">
        <v>1148</v>
      </c>
      <c r="B1847" s="231" t="s">
        <v>795</v>
      </c>
      <c r="C1847" s="229">
        <v>1459.546569</v>
      </c>
      <c r="D1847" s="229">
        <v>1297.986569</v>
      </c>
      <c r="E1847" s="229">
        <v>1297.986569</v>
      </c>
      <c r="F1847" s="229"/>
      <c r="G1847" s="229">
        <v>161.56</v>
      </c>
      <c r="H1847" s="229"/>
      <c r="I1847" s="229"/>
      <c r="J1847" s="229"/>
      <c r="K1847" s="229"/>
      <c r="L1847" s="229"/>
      <c r="M1847" s="229"/>
      <c r="N1847" s="233" t="s">
        <v>578</v>
      </c>
    </row>
    <row r="1848" hidden="1" spans="1:14">
      <c r="A1848" s="235"/>
      <c r="B1848" s="230" t="s">
        <v>1106</v>
      </c>
      <c r="C1848" s="229">
        <v>6.2316</v>
      </c>
      <c r="D1848" s="229">
        <v>3.1158</v>
      </c>
      <c r="E1848" s="229">
        <v>3.1158</v>
      </c>
      <c r="F1848" s="229"/>
      <c r="G1848" s="229">
        <v>3.1158</v>
      </c>
      <c r="H1848" s="229"/>
      <c r="I1848" s="229"/>
      <c r="J1848" s="229"/>
      <c r="K1848" s="229"/>
      <c r="L1848" s="229"/>
      <c r="M1848" s="229"/>
      <c r="N1848" s="232"/>
    </row>
    <row r="1849" hidden="1" spans="1:14">
      <c r="A1849" s="235"/>
      <c r="B1849" s="230" t="s">
        <v>1036</v>
      </c>
      <c r="C1849" s="229">
        <v>54.622738</v>
      </c>
      <c r="D1849" s="229">
        <v>54.622738</v>
      </c>
      <c r="E1849" s="229">
        <v>54.622738</v>
      </c>
      <c r="F1849" s="229"/>
      <c r="G1849" s="229"/>
      <c r="H1849" s="229"/>
      <c r="I1849" s="229"/>
      <c r="J1849" s="229"/>
      <c r="K1849" s="229"/>
      <c r="L1849" s="229"/>
      <c r="M1849" s="229"/>
      <c r="N1849" s="232"/>
    </row>
    <row r="1850" hidden="1" spans="1:14">
      <c r="A1850" s="235"/>
      <c r="B1850" s="230" t="s">
        <v>1033</v>
      </c>
      <c r="C1850" s="229">
        <v>130.316453</v>
      </c>
      <c r="D1850" s="229">
        <v>130.316453</v>
      </c>
      <c r="E1850" s="229">
        <v>130.316453</v>
      </c>
      <c r="F1850" s="229"/>
      <c r="G1850" s="229"/>
      <c r="H1850" s="229"/>
      <c r="I1850" s="229"/>
      <c r="J1850" s="229"/>
      <c r="K1850" s="229"/>
      <c r="L1850" s="229"/>
      <c r="M1850" s="229"/>
      <c r="N1850" s="232"/>
    </row>
    <row r="1851" hidden="1" spans="1:14">
      <c r="A1851" s="235"/>
      <c r="B1851" s="230" t="s">
        <v>1029</v>
      </c>
      <c r="C1851" s="229">
        <v>89.546</v>
      </c>
      <c r="D1851" s="229">
        <v>89.546</v>
      </c>
      <c r="E1851" s="229">
        <v>89.546</v>
      </c>
      <c r="F1851" s="229"/>
      <c r="G1851" s="229"/>
      <c r="H1851" s="229"/>
      <c r="I1851" s="229"/>
      <c r="J1851" s="229"/>
      <c r="K1851" s="229"/>
      <c r="L1851" s="229"/>
      <c r="M1851" s="229"/>
      <c r="N1851" s="232"/>
    </row>
    <row r="1852" hidden="1" spans="1:14">
      <c r="A1852" s="235"/>
      <c r="B1852" s="230" t="s">
        <v>1032</v>
      </c>
      <c r="C1852" s="229">
        <v>1169.725988</v>
      </c>
      <c r="D1852" s="229">
        <v>1011.281788</v>
      </c>
      <c r="E1852" s="229">
        <v>1011.281788</v>
      </c>
      <c r="F1852" s="229"/>
      <c r="G1852" s="229">
        <v>158.4442</v>
      </c>
      <c r="H1852" s="229"/>
      <c r="I1852" s="229"/>
      <c r="J1852" s="229"/>
      <c r="K1852" s="229"/>
      <c r="L1852" s="229"/>
      <c r="M1852" s="229"/>
      <c r="N1852" s="232"/>
    </row>
    <row r="1853" hidden="1" spans="1:14">
      <c r="A1853" s="235"/>
      <c r="B1853" s="230" t="s">
        <v>1039</v>
      </c>
      <c r="C1853" s="229">
        <v>9.10379</v>
      </c>
      <c r="D1853" s="229">
        <v>9.10379</v>
      </c>
      <c r="E1853" s="229">
        <v>9.10379</v>
      </c>
      <c r="F1853" s="229"/>
      <c r="G1853" s="229"/>
      <c r="H1853" s="229"/>
      <c r="I1853" s="229"/>
      <c r="J1853" s="229"/>
      <c r="K1853" s="229"/>
      <c r="L1853" s="229"/>
      <c r="M1853" s="229"/>
      <c r="N1853" s="232"/>
    </row>
    <row r="1854" spans="1:14">
      <c r="A1854" s="227" t="s">
        <v>1149</v>
      </c>
      <c r="B1854" s="231" t="s">
        <v>796</v>
      </c>
      <c r="C1854" s="229">
        <v>2560.781376</v>
      </c>
      <c r="D1854" s="229">
        <v>2560.781376</v>
      </c>
      <c r="E1854" s="229">
        <v>2560.781376</v>
      </c>
      <c r="F1854" s="229"/>
      <c r="G1854" s="229"/>
      <c r="H1854" s="229"/>
      <c r="I1854" s="229"/>
      <c r="J1854" s="229"/>
      <c r="K1854" s="229"/>
      <c r="L1854" s="229"/>
      <c r="M1854" s="229"/>
      <c r="N1854" s="233" t="s">
        <v>578</v>
      </c>
    </row>
    <row r="1855" hidden="1" spans="1:14">
      <c r="A1855" s="235"/>
      <c r="B1855" s="230" t="s">
        <v>1033</v>
      </c>
      <c r="C1855" s="229">
        <v>313.095507</v>
      </c>
      <c r="D1855" s="229">
        <v>313.095507</v>
      </c>
      <c r="E1855" s="229">
        <v>313.095507</v>
      </c>
      <c r="F1855" s="229"/>
      <c r="G1855" s="229"/>
      <c r="H1855" s="229"/>
      <c r="I1855" s="229"/>
      <c r="J1855" s="229"/>
      <c r="K1855" s="229"/>
      <c r="L1855" s="229"/>
      <c r="M1855" s="229"/>
      <c r="N1855" s="232"/>
    </row>
    <row r="1856" hidden="1" spans="1:14">
      <c r="A1856" s="235"/>
      <c r="B1856" s="230" t="s">
        <v>1029</v>
      </c>
      <c r="C1856" s="229">
        <v>279.942</v>
      </c>
      <c r="D1856" s="229">
        <v>279.942</v>
      </c>
      <c r="E1856" s="229">
        <v>279.942</v>
      </c>
      <c r="F1856" s="229"/>
      <c r="G1856" s="229"/>
      <c r="H1856" s="229"/>
      <c r="I1856" s="229"/>
      <c r="J1856" s="229"/>
      <c r="K1856" s="229"/>
      <c r="L1856" s="229"/>
      <c r="M1856" s="229"/>
      <c r="N1856" s="232"/>
    </row>
    <row r="1857" hidden="1" spans="1:14">
      <c r="A1857" s="235"/>
      <c r="B1857" s="230" t="s">
        <v>1035</v>
      </c>
      <c r="C1857" s="229">
        <v>0.3</v>
      </c>
      <c r="D1857" s="229">
        <v>0.3</v>
      </c>
      <c r="E1857" s="229">
        <v>0.3</v>
      </c>
      <c r="F1857" s="229"/>
      <c r="G1857" s="229"/>
      <c r="H1857" s="229"/>
      <c r="I1857" s="229"/>
      <c r="J1857" s="229"/>
      <c r="K1857" s="229"/>
      <c r="L1857" s="229"/>
      <c r="M1857" s="229"/>
      <c r="N1857" s="232"/>
    </row>
    <row r="1858" hidden="1" spans="1:14">
      <c r="A1858" s="235"/>
      <c r="B1858" s="230" t="s">
        <v>1032</v>
      </c>
      <c r="C1858" s="229">
        <v>1732.268148</v>
      </c>
      <c r="D1858" s="229">
        <v>1732.268148</v>
      </c>
      <c r="E1858" s="229">
        <v>1732.268148</v>
      </c>
      <c r="F1858" s="229"/>
      <c r="G1858" s="229"/>
      <c r="H1858" s="229"/>
      <c r="I1858" s="229"/>
      <c r="J1858" s="229"/>
      <c r="K1858" s="229"/>
      <c r="L1858" s="229"/>
      <c r="M1858" s="229"/>
      <c r="N1858" s="232"/>
    </row>
    <row r="1859" hidden="1" spans="1:14">
      <c r="A1859" s="235"/>
      <c r="B1859" s="230" t="s">
        <v>1027</v>
      </c>
      <c r="C1859" s="229">
        <v>2</v>
      </c>
      <c r="D1859" s="229">
        <v>2</v>
      </c>
      <c r="E1859" s="229">
        <v>2</v>
      </c>
      <c r="F1859" s="229"/>
      <c r="G1859" s="229"/>
      <c r="H1859" s="229"/>
      <c r="I1859" s="229"/>
      <c r="J1859" s="229"/>
      <c r="K1859" s="229"/>
      <c r="L1859" s="229"/>
      <c r="M1859" s="229"/>
      <c r="N1859" s="232"/>
    </row>
    <row r="1860" hidden="1" spans="1:14">
      <c r="A1860" s="235"/>
      <c r="B1860" s="230" t="s">
        <v>1037</v>
      </c>
      <c r="C1860" s="229">
        <v>0.09</v>
      </c>
      <c r="D1860" s="229">
        <v>0.09</v>
      </c>
      <c r="E1860" s="229">
        <v>0.09</v>
      </c>
      <c r="F1860" s="229"/>
      <c r="G1860" s="229"/>
      <c r="H1860" s="229"/>
      <c r="I1860" s="229"/>
      <c r="J1860" s="229"/>
      <c r="K1860" s="229"/>
      <c r="L1860" s="229"/>
      <c r="M1860" s="229"/>
      <c r="N1860" s="232"/>
    </row>
    <row r="1861" hidden="1" spans="1:14">
      <c r="A1861" s="235"/>
      <c r="B1861" s="230" t="s">
        <v>1039</v>
      </c>
      <c r="C1861" s="229">
        <v>21.525703</v>
      </c>
      <c r="D1861" s="229">
        <v>21.525703</v>
      </c>
      <c r="E1861" s="229">
        <v>21.525703</v>
      </c>
      <c r="F1861" s="229"/>
      <c r="G1861" s="229"/>
      <c r="H1861" s="229"/>
      <c r="I1861" s="229"/>
      <c r="J1861" s="229"/>
      <c r="K1861" s="229"/>
      <c r="L1861" s="229"/>
      <c r="M1861" s="229"/>
      <c r="N1861" s="232"/>
    </row>
    <row r="1862" hidden="1" spans="1:14">
      <c r="A1862" s="235"/>
      <c r="B1862" s="230" t="s">
        <v>1038</v>
      </c>
      <c r="C1862" s="229">
        <v>0.09</v>
      </c>
      <c r="D1862" s="229">
        <v>0.09</v>
      </c>
      <c r="E1862" s="229">
        <v>0.09</v>
      </c>
      <c r="F1862" s="229"/>
      <c r="G1862" s="229"/>
      <c r="H1862" s="229"/>
      <c r="I1862" s="229"/>
      <c r="J1862" s="229"/>
      <c r="K1862" s="229"/>
      <c r="L1862" s="229"/>
      <c r="M1862" s="229"/>
      <c r="N1862" s="232"/>
    </row>
    <row r="1863" hidden="1" spans="1:14">
      <c r="A1863" s="235"/>
      <c r="B1863" s="230" t="s">
        <v>1028</v>
      </c>
      <c r="C1863" s="229">
        <v>3.6</v>
      </c>
      <c r="D1863" s="229">
        <v>3.6</v>
      </c>
      <c r="E1863" s="229">
        <v>3.6</v>
      </c>
      <c r="F1863" s="229"/>
      <c r="G1863" s="229"/>
      <c r="H1863" s="229"/>
      <c r="I1863" s="229"/>
      <c r="J1863" s="229"/>
      <c r="K1863" s="229"/>
      <c r="L1863" s="229"/>
      <c r="M1863" s="229"/>
      <c r="N1863" s="232"/>
    </row>
    <row r="1864" hidden="1" spans="1:14">
      <c r="A1864" s="235"/>
      <c r="B1864" s="230" t="s">
        <v>1036</v>
      </c>
      <c r="C1864" s="229">
        <v>207.870018</v>
      </c>
      <c r="D1864" s="229">
        <v>207.870018</v>
      </c>
      <c r="E1864" s="229">
        <v>207.870018</v>
      </c>
      <c r="F1864" s="229"/>
      <c r="G1864" s="229"/>
      <c r="H1864" s="229"/>
      <c r="I1864" s="229"/>
      <c r="J1864" s="229"/>
      <c r="K1864" s="229"/>
      <c r="L1864" s="229"/>
      <c r="M1864" s="229"/>
      <c r="N1864" s="232"/>
    </row>
    <row r="1865" spans="1:14">
      <c r="A1865" s="227" t="s">
        <v>1150</v>
      </c>
      <c r="B1865" s="231" t="s">
        <v>797</v>
      </c>
      <c r="C1865" s="229">
        <v>580.08</v>
      </c>
      <c r="D1865" s="229">
        <v>580.08</v>
      </c>
      <c r="E1865" s="229">
        <v>60.6</v>
      </c>
      <c r="F1865" s="229">
        <v>519.48</v>
      </c>
      <c r="G1865" s="229"/>
      <c r="H1865" s="229"/>
      <c r="I1865" s="229"/>
      <c r="J1865" s="229"/>
      <c r="K1865" s="229"/>
      <c r="L1865" s="229"/>
      <c r="M1865" s="229"/>
      <c r="N1865" s="233" t="s">
        <v>578</v>
      </c>
    </row>
    <row r="1866" hidden="1" spans="1:14">
      <c r="A1866" s="235"/>
      <c r="B1866" s="230" t="s">
        <v>1033</v>
      </c>
      <c r="C1866" s="229">
        <v>43.5</v>
      </c>
      <c r="D1866" s="229">
        <v>43.5</v>
      </c>
      <c r="E1866" s="229"/>
      <c r="F1866" s="229">
        <v>43.5</v>
      </c>
      <c r="G1866" s="229"/>
      <c r="H1866" s="229"/>
      <c r="I1866" s="229"/>
      <c r="J1866" s="229"/>
      <c r="K1866" s="229"/>
      <c r="L1866" s="229"/>
      <c r="M1866" s="229"/>
      <c r="N1866" s="232"/>
    </row>
    <row r="1867" hidden="1" spans="1:14">
      <c r="A1867" s="235"/>
      <c r="B1867" s="230" t="s">
        <v>1029</v>
      </c>
      <c r="C1867" s="229">
        <v>152.58</v>
      </c>
      <c r="D1867" s="229">
        <v>152.58</v>
      </c>
      <c r="E1867" s="229">
        <v>60.6</v>
      </c>
      <c r="F1867" s="229">
        <v>91.98</v>
      </c>
      <c r="G1867" s="229"/>
      <c r="H1867" s="229"/>
      <c r="I1867" s="229"/>
      <c r="J1867" s="229"/>
      <c r="K1867" s="229"/>
      <c r="L1867" s="229"/>
      <c r="M1867" s="229"/>
      <c r="N1867" s="232"/>
    </row>
    <row r="1868" hidden="1" spans="1:14">
      <c r="A1868" s="235"/>
      <c r="B1868" s="230" t="s">
        <v>1032</v>
      </c>
      <c r="C1868" s="229">
        <v>343</v>
      </c>
      <c r="D1868" s="229">
        <v>343</v>
      </c>
      <c r="E1868" s="229"/>
      <c r="F1868" s="229">
        <v>343</v>
      </c>
      <c r="G1868" s="229"/>
      <c r="H1868" s="229"/>
      <c r="I1868" s="229"/>
      <c r="J1868" s="229"/>
      <c r="K1868" s="229"/>
      <c r="L1868" s="229"/>
      <c r="M1868" s="229"/>
      <c r="N1868" s="232"/>
    </row>
    <row r="1869" hidden="1" spans="1:14">
      <c r="A1869" s="235"/>
      <c r="B1869" s="230" t="s">
        <v>1036</v>
      </c>
      <c r="C1869" s="229">
        <v>41</v>
      </c>
      <c r="D1869" s="229">
        <v>41</v>
      </c>
      <c r="E1869" s="229"/>
      <c r="F1869" s="229">
        <v>41</v>
      </c>
      <c r="G1869" s="229"/>
      <c r="H1869" s="229"/>
      <c r="I1869" s="229"/>
      <c r="J1869" s="229"/>
      <c r="K1869" s="229"/>
      <c r="L1869" s="229"/>
      <c r="M1869" s="229"/>
      <c r="N1869" s="232"/>
    </row>
    <row r="1870" spans="1:14">
      <c r="A1870" s="227" t="s">
        <v>1151</v>
      </c>
      <c r="B1870" s="231" t="s">
        <v>798</v>
      </c>
      <c r="C1870" s="229">
        <v>270.86</v>
      </c>
      <c r="D1870" s="229">
        <v>270.86</v>
      </c>
      <c r="E1870" s="229">
        <v>27.2</v>
      </c>
      <c r="F1870" s="229">
        <v>243.66</v>
      </c>
      <c r="G1870" s="229"/>
      <c r="H1870" s="229"/>
      <c r="I1870" s="229"/>
      <c r="J1870" s="229"/>
      <c r="K1870" s="229"/>
      <c r="L1870" s="229"/>
      <c r="M1870" s="229"/>
      <c r="N1870" s="233" t="s">
        <v>578</v>
      </c>
    </row>
    <row r="1871" hidden="1" spans="1:14">
      <c r="A1871" s="235"/>
      <c r="B1871" s="230" t="s">
        <v>1033</v>
      </c>
      <c r="C1871" s="229">
        <v>40</v>
      </c>
      <c r="D1871" s="229">
        <v>40</v>
      </c>
      <c r="E1871" s="229"/>
      <c r="F1871" s="229">
        <v>40</v>
      </c>
      <c r="G1871" s="229"/>
      <c r="H1871" s="229"/>
      <c r="I1871" s="229"/>
      <c r="J1871" s="229"/>
      <c r="K1871" s="229"/>
      <c r="L1871" s="229"/>
      <c r="M1871" s="229"/>
      <c r="N1871" s="232"/>
    </row>
    <row r="1872" hidden="1" spans="1:14">
      <c r="A1872" s="235"/>
      <c r="B1872" s="230" t="s">
        <v>1029</v>
      </c>
      <c r="C1872" s="229">
        <v>81.86</v>
      </c>
      <c r="D1872" s="229">
        <v>81.86</v>
      </c>
      <c r="E1872" s="229">
        <v>27.2</v>
      </c>
      <c r="F1872" s="229">
        <v>54.66</v>
      </c>
      <c r="G1872" s="229"/>
      <c r="H1872" s="229"/>
      <c r="I1872" s="229"/>
      <c r="J1872" s="229"/>
      <c r="K1872" s="229"/>
      <c r="L1872" s="229"/>
      <c r="M1872" s="229"/>
      <c r="N1872" s="232"/>
    </row>
    <row r="1873" hidden="1" spans="1:14">
      <c r="A1873" s="235"/>
      <c r="B1873" s="230" t="s">
        <v>1032</v>
      </c>
      <c r="C1873" s="229">
        <v>133</v>
      </c>
      <c r="D1873" s="229">
        <v>133</v>
      </c>
      <c r="E1873" s="229"/>
      <c r="F1873" s="229">
        <v>133</v>
      </c>
      <c r="G1873" s="229"/>
      <c r="H1873" s="229"/>
      <c r="I1873" s="229"/>
      <c r="J1873" s="229"/>
      <c r="K1873" s="229"/>
      <c r="L1873" s="229"/>
      <c r="M1873" s="229"/>
      <c r="N1873" s="232"/>
    </row>
    <row r="1874" hidden="1" spans="1:14">
      <c r="A1874" s="235"/>
      <c r="B1874" s="230" t="s">
        <v>1036</v>
      </c>
      <c r="C1874" s="229">
        <v>16</v>
      </c>
      <c r="D1874" s="229">
        <v>16</v>
      </c>
      <c r="E1874" s="229"/>
      <c r="F1874" s="229">
        <v>16</v>
      </c>
      <c r="G1874" s="229"/>
      <c r="H1874" s="229"/>
      <c r="I1874" s="229"/>
      <c r="J1874" s="229"/>
      <c r="K1874" s="229"/>
      <c r="L1874" s="229"/>
      <c r="M1874" s="229"/>
      <c r="N1874" s="232"/>
    </row>
    <row r="1875" spans="1:14">
      <c r="A1875" s="227" t="s">
        <v>1152</v>
      </c>
      <c r="B1875" s="231" t="s">
        <v>799</v>
      </c>
      <c r="C1875" s="229">
        <v>465.37102</v>
      </c>
      <c r="D1875" s="229">
        <v>465.37102</v>
      </c>
      <c r="E1875" s="229">
        <v>465.37102</v>
      </c>
      <c r="F1875" s="229"/>
      <c r="G1875" s="229"/>
      <c r="H1875" s="229"/>
      <c r="I1875" s="229"/>
      <c r="J1875" s="229"/>
      <c r="K1875" s="229"/>
      <c r="L1875" s="229"/>
      <c r="M1875" s="229"/>
      <c r="N1875" s="233" t="s">
        <v>578</v>
      </c>
    </row>
    <row r="1876" hidden="1" spans="1:14">
      <c r="A1876" s="235"/>
      <c r="B1876" s="230" t="s">
        <v>1028</v>
      </c>
      <c r="C1876" s="229">
        <v>59.742</v>
      </c>
      <c r="D1876" s="229">
        <v>59.742</v>
      </c>
      <c r="E1876" s="229">
        <v>59.742</v>
      </c>
      <c r="F1876" s="229"/>
      <c r="G1876" s="229"/>
      <c r="H1876" s="229"/>
      <c r="I1876" s="229"/>
      <c r="J1876" s="229"/>
      <c r="K1876" s="229"/>
      <c r="L1876" s="229"/>
      <c r="M1876" s="229"/>
      <c r="N1876" s="232"/>
    </row>
    <row r="1877" hidden="1" spans="1:14">
      <c r="A1877" s="235"/>
      <c r="B1877" s="230" t="s">
        <v>1031</v>
      </c>
      <c r="C1877" s="229">
        <v>12.348</v>
      </c>
      <c r="D1877" s="229">
        <v>12.348</v>
      </c>
      <c r="E1877" s="229">
        <v>12.348</v>
      </c>
      <c r="F1877" s="229"/>
      <c r="G1877" s="229"/>
      <c r="H1877" s="229"/>
      <c r="I1877" s="229"/>
      <c r="J1877" s="229"/>
      <c r="K1877" s="229"/>
      <c r="L1877" s="229"/>
      <c r="M1877" s="229"/>
      <c r="N1877" s="232"/>
    </row>
    <row r="1878" hidden="1" spans="1:14">
      <c r="A1878" s="235"/>
      <c r="B1878" s="230" t="s">
        <v>1036</v>
      </c>
      <c r="C1878" s="229">
        <v>29.55834</v>
      </c>
      <c r="D1878" s="229">
        <v>29.55834</v>
      </c>
      <c r="E1878" s="229">
        <v>29.55834</v>
      </c>
      <c r="F1878" s="229"/>
      <c r="G1878" s="229"/>
      <c r="H1878" s="229"/>
      <c r="I1878" s="229"/>
      <c r="J1878" s="229"/>
      <c r="K1878" s="229"/>
      <c r="L1878" s="229"/>
      <c r="M1878" s="229"/>
      <c r="N1878" s="232"/>
    </row>
    <row r="1879" hidden="1" spans="1:14">
      <c r="A1879" s="235"/>
      <c r="B1879" s="230" t="s">
        <v>1033</v>
      </c>
      <c r="C1879" s="229">
        <v>80.163244</v>
      </c>
      <c r="D1879" s="229">
        <v>80.163244</v>
      </c>
      <c r="E1879" s="229">
        <v>80.163244</v>
      </c>
      <c r="F1879" s="229"/>
      <c r="G1879" s="229"/>
      <c r="H1879" s="229"/>
      <c r="I1879" s="229"/>
      <c r="J1879" s="229"/>
      <c r="K1879" s="229"/>
      <c r="L1879" s="229"/>
      <c r="M1879" s="229"/>
      <c r="N1879" s="232"/>
    </row>
    <row r="1880" hidden="1" spans="1:14">
      <c r="A1880" s="235"/>
      <c r="B1880" s="230" t="s">
        <v>1029</v>
      </c>
      <c r="C1880" s="229">
        <v>24.4</v>
      </c>
      <c r="D1880" s="229">
        <v>24.4</v>
      </c>
      <c r="E1880" s="229">
        <v>24.4</v>
      </c>
      <c r="F1880" s="229"/>
      <c r="G1880" s="229"/>
      <c r="H1880" s="229"/>
      <c r="I1880" s="229"/>
      <c r="J1880" s="229"/>
      <c r="K1880" s="229"/>
      <c r="L1880" s="229"/>
      <c r="M1880" s="229"/>
      <c r="N1880" s="232"/>
    </row>
    <row r="1881" hidden="1" spans="1:14">
      <c r="A1881" s="235"/>
      <c r="B1881" s="230" t="s">
        <v>1035</v>
      </c>
      <c r="C1881" s="229">
        <v>2</v>
      </c>
      <c r="D1881" s="229">
        <v>2</v>
      </c>
      <c r="E1881" s="229">
        <v>2</v>
      </c>
      <c r="F1881" s="229"/>
      <c r="G1881" s="229"/>
      <c r="H1881" s="229"/>
      <c r="I1881" s="229"/>
      <c r="J1881" s="229"/>
      <c r="K1881" s="229"/>
      <c r="L1881" s="229"/>
      <c r="M1881" s="229"/>
      <c r="N1881" s="232"/>
    </row>
    <row r="1882" hidden="1" spans="1:14">
      <c r="A1882" s="235"/>
      <c r="B1882" s="230" t="s">
        <v>1027</v>
      </c>
      <c r="C1882" s="229">
        <v>4</v>
      </c>
      <c r="D1882" s="229">
        <v>4</v>
      </c>
      <c r="E1882" s="229">
        <v>4</v>
      </c>
      <c r="F1882" s="229"/>
      <c r="G1882" s="229"/>
      <c r="H1882" s="229"/>
      <c r="I1882" s="229"/>
      <c r="J1882" s="229"/>
      <c r="K1882" s="229"/>
      <c r="L1882" s="229"/>
      <c r="M1882" s="229"/>
      <c r="N1882" s="232"/>
    </row>
    <row r="1883" hidden="1" spans="1:14">
      <c r="A1883" s="235"/>
      <c r="B1883" s="230" t="s">
        <v>1037</v>
      </c>
      <c r="C1883" s="229">
        <v>1.49355</v>
      </c>
      <c r="D1883" s="229">
        <v>1.49355</v>
      </c>
      <c r="E1883" s="229">
        <v>1.49355</v>
      </c>
      <c r="F1883" s="229"/>
      <c r="G1883" s="229"/>
      <c r="H1883" s="229"/>
      <c r="I1883" s="229"/>
      <c r="J1883" s="229"/>
      <c r="K1883" s="229"/>
      <c r="L1883" s="229"/>
      <c r="M1883" s="229"/>
      <c r="N1883" s="232"/>
    </row>
    <row r="1884" hidden="1" spans="1:14">
      <c r="A1884" s="235"/>
      <c r="B1884" s="230" t="s">
        <v>1032</v>
      </c>
      <c r="C1884" s="229">
        <v>246.319496</v>
      </c>
      <c r="D1884" s="229">
        <v>246.319496</v>
      </c>
      <c r="E1884" s="229">
        <v>246.319496</v>
      </c>
      <c r="F1884" s="229"/>
      <c r="G1884" s="229"/>
      <c r="H1884" s="229"/>
      <c r="I1884" s="229"/>
      <c r="J1884" s="229"/>
      <c r="K1884" s="229"/>
      <c r="L1884" s="229"/>
      <c r="M1884" s="229"/>
      <c r="N1884" s="232"/>
    </row>
    <row r="1885" hidden="1" spans="1:14">
      <c r="A1885" s="235"/>
      <c r="B1885" s="230" t="s">
        <v>1039</v>
      </c>
      <c r="C1885" s="229">
        <v>4.92639</v>
      </c>
      <c r="D1885" s="229">
        <v>4.92639</v>
      </c>
      <c r="E1885" s="229">
        <v>4.92639</v>
      </c>
      <c r="F1885" s="229"/>
      <c r="G1885" s="229"/>
      <c r="H1885" s="229"/>
      <c r="I1885" s="229"/>
      <c r="J1885" s="229"/>
      <c r="K1885" s="229"/>
      <c r="L1885" s="229"/>
      <c r="M1885" s="229"/>
      <c r="N1885" s="232"/>
    </row>
    <row r="1886" hidden="1" spans="1:14">
      <c r="A1886" s="235"/>
      <c r="B1886" s="230" t="s">
        <v>1038</v>
      </c>
      <c r="C1886" s="229">
        <v>0.42</v>
      </c>
      <c r="D1886" s="229">
        <v>0.42</v>
      </c>
      <c r="E1886" s="229">
        <v>0.42</v>
      </c>
      <c r="F1886" s="229"/>
      <c r="G1886" s="229"/>
      <c r="H1886" s="229"/>
      <c r="I1886" s="229"/>
      <c r="J1886" s="229"/>
      <c r="K1886" s="229"/>
      <c r="L1886" s="229"/>
      <c r="M1886" s="229"/>
      <c r="N1886" s="232"/>
    </row>
    <row r="1887" spans="1:14">
      <c r="A1887" s="227" t="s">
        <v>1153</v>
      </c>
      <c r="B1887" s="231" t="s">
        <v>800</v>
      </c>
      <c r="C1887" s="229">
        <v>308.317705</v>
      </c>
      <c r="D1887" s="229">
        <v>308.317705</v>
      </c>
      <c r="E1887" s="229">
        <v>308.317705</v>
      </c>
      <c r="F1887" s="229"/>
      <c r="G1887" s="229"/>
      <c r="H1887" s="229"/>
      <c r="I1887" s="229"/>
      <c r="J1887" s="229"/>
      <c r="K1887" s="229"/>
      <c r="L1887" s="229"/>
      <c r="M1887" s="229"/>
      <c r="N1887" s="233" t="s">
        <v>578</v>
      </c>
    </row>
    <row r="1888" hidden="1" spans="1:14">
      <c r="A1888" s="235"/>
      <c r="B1888" s="230" t="s">
        <v>1028</v>
      </c>
      <c r="C1888" s="229">
        <v>31.8084</v>
      </c>
      <c r="D1888" s="229">
        <v>31.8084</v>
      </c>
      <c r="E1888" s="229">
        <v>31.8084</v>
      </c>
      <c r="F1888" s="229"/>
      <c r="G1888" s="229"/>
      <c r="H1888" s="229"/>
      <c r="I1888" s="229"/>
      <c r="J1888" s="229"/>
      <c r="K1888" s="229"/>
      <c r="L1888" s="229"/>
      <c r="M1888" s="229"/>
      <c r="N1888" s="232"/>
    </row>
    <row r="1889" hidden="1" spans="1:14">
      <c r="A1889" s="235"/>
      <c r="B1889" s="230" t="s">
        <v>1036</v>
      </c>
      <c r="C1889" s="229">
        <v>20.550576</v>
      </c>
      <c r="D1889" s="229">
        <v>20.550576</v>
      </c>
      <c r="E1889" s="229">
        <v>20.550576</v>
      </c>
      <c r="F1889" s="229"/>
      <c r="G1889" s="229"/>
      <c r="H1889" s="229"/>
      <c r="I1889" s="229"/>
      <c r="J1889" s="229"/>
      <c r="K1889" s="229"/>
      <c r="L1889" s="229"/>
      <c r="M1889" s="229"/>
      <c r="N1889" s="232"/>
    </row>
    <row r="1890" hidden="1" spans="1:14">
      <c r="A1890" s="235"/>
      <c r="B1890" s="230" t="s">
        <v>1033</v>
      </c>
      <c r="C1890" s="229">
        <v>52.123623</v>
      </c>
      <c r="D1890" s="229">
        <v>52.123623</v>
      </c>
      <c r="E1890" s="229">
        <v>52.123623</v>
      </c>
      <c r="F1890" s="229"/>
      <c r="G1890" s="229"/>
      <c r="H1890" s="229"/>
      <c r="I1890" s="229"/>
      <c r="J1890" s="229"/>
      <c r="K1890" s="229"/>
      <c r="L1890" s="229"/>
      <c r="M1890" s="229"/>
      <c r="N1890" s="232"/>
    </row>
    <row r="1891" hidden="1" spans="1:14">
      <c r="A1891" s="235"/>
      <c r="B1891" s="230" t="s">
        <v>1039</v>
      </c>
      <c r="C1891" s="229">
        <v>3.425096</v>
      </c>
      <c r="D1891" s="229">
        <v>3.425096</v>
      </c>
      <c r="E1891" s="229">
        <v>3.425096</v>
      </c>
      <c r="F1891" s="229"/>
      <c r="G1891" s="229"/>
      <c r="H1891" s="229"/>
      <c r="I1891" s="229"/>
      <c r="J1891" s="229"/>
      <c r="K1891" s="229"/>
      <c r="L1891" s="229"/>
      <c r="M1891" s="229"/>
      <c r="N1891" s="232"/>
    </row>
    <row r="1892" hidden="1" spans="1:14">
      <c r="A1892" s="235"/>
      <c r="B1892" s="230" t="s">
        <v>1037</v>
      </c>
      <c r="C1892" s="229">
        <v>0.79521</v>
      </c>
      <c r="D1892" s="229">
        <v>0.79521</v>
      </c>
      <c r="E1892" s="229">
        <v>0.79521</v>
      </c>
      <c r="F1892" s="229"/>
      <c r="G1892" s="229"/>
      <c r="H1892" s="229"/>
      <c r="I1892" s="229"/>
      <c r="J1892" s="229"/>
      <c r="K1892" s="229"/>
      <c r="L1892" s="229"/>
      <c r="M1892" s="229"/>
      <c r="N1892" s="232"/>
    </row>
    <row r="1893" hidden="1" spans="1:14">
      <c r="A1893" s="235"/>
      <c r="B1893" s="230" t="s">
        <v>1035</v>
      </c>
      <c r="C1893" s="229">
        <v>1</v>
      </c>
      <c r="D1893" s="229">
        <v>1</v>
      </c>
      <c r="E1893" s="229">
        <v>1</v>
      </c>
      <c r="F1893" s="229"/>
      <c r="G1893" s="229"/>
      <c r="H1893" s="229"/>
      <c r="I1893" s="229"/>
      <c r="J1893" s="229"/>
      <c r="K1893" s="229"/>
      <c r="L1893" s="229"/>
      <c r="M1893" s="229"/>
      <c r="N1893" s="232"/>
    </row>
    <row r="1894" hidden="1" spans="1:14">
      <c r="A1894" s="235"/>
      <c r="B1894" s="230" t="s">
        <v>1029</v>
      </c>
      <c r="C1894" s="229">
        <v>13.664</v>
      </c>
      <c r="D1894" s="229">
        <v>13.664</v>
      </c>
      <c r="E1894" s="229">
        <v>13.664</v>
      </c>
      <c r="F1894" s="229"/>
      <c r="G1894" s="229"/>
      <c r="H1894" s="229"/>
      <c r="I1894" s="229"/>
      <c r="J1894" s="229"/>
      <c r="K1894" s="229"/>
      <c r="L1894" s="229"/>
      <c r="M1894" s="229"/>
      <c r="N1894" s="232"/>
    </row>
    <row r="1895" hidden="1" spans="1:14">
      <c r="A1895" s="235"/>
      <c r="B1895" s="230" t="s">
        <v>1032</v>
      </c>
      <c r="C1895" s="229">
        <v>171.2548</v>
      </c>
      <c r="D1895" s="229">
        <v>171.2548</v>
      </c>
      <c r="E1895" s="229">
        <v>171.2548</v>
      </c>
      <c r="F1895" s="229"/>
      <c r="G1895" s="229"/>
      <c r="H1895" s="229"/>
      <c r="I1895" s="229"/>
      <c r="J1895" s="229"/>
      <c r="K1895" s="229"/>
      <c r="L1895" s="229"/>
      <c r="M1895" s="229"/>
      <c r="N1895" s="232"/>
    </row>
    <row r="1896" hidden="1" spans="1:14">
      <c r="A1896" s="235"/>
      <c r="B1896" s="230" t="s">
        <v>1038</v>
      </c>
      <c r="C1896" s="229">
        <v>0.3</v>
      </c>
      <c r="D1896" s="229">
        <v>0.3</v>
      </c>
      <c r="E1896" s="229">
        <v>0.3</v>
      </c>
      <c r="F1896" s="229"/>
      <c r="G1896" s="229"/>
      <c r="H1896" s="229"/>
      <c r="I1896" s="229"/>
      <c r="J1896" s="229"/>
      <c r="K1896" s="229"/>
      <c r="L1896" s="229"/>
      <c r="M1896" s="229"/>
      <c r="N1896" s="232"/>
    </row>
    <row r="1897" hidden="1" spans="1:14">
      <c r="A1897" s="235"/>
      <c r="B1897" s="230" t="s">
        <v>1031</v>
      </c>
      <c r="C1897" s="229">
        <v>9.396</v>
      </c>
      <c r="D1897" s="229">
        <v>9.396</v>
      </c>
      <c r="E1897" s="229">
        <v>9.396</v>
      </c>
      <c r="F1897" s="229"/>
      <c r="G1897" s="229"/>
      <c r="H1897" s="229"/>
      <c r="I1897" s="229"/>
      <c r="J1897" s="229"/>
      <c r="K1897" s="229"/>
      <c r="L1897" s="229"/>
      <c r="M1897" s="229"/>
      <c r="N1897" s="232"/>
    </row>
    <row r="1898" hidden="1" spans="1:14">
      <c r="A1898" s="235"/>
      <c r="B1898" s="230" t="s">
        <v>1027</v>
      </c>
      <c r="C1898" s="229">
        <v>4</v>
      </c>
      <c r="D1898" s="229">
        <v>4</v>
      </c>
      <c r="E1898" s="229">
        <v>4</v>
      </c>
      <c r="F1898" s="229"/>
      <c r="G1898" s="229"/>
      <c r="H1898" s="229"/>
      <c r="I1898" s="229"/>
      <c r="J1898" s="229"/>
      <c r="K1898" s="229"/>
      <c r="L1898" s="229"/>
      <c r="M1898" s="229"/>
      <c r="N1898" s="232"/>
    </row>
    <row r="1899" spans="1:14">
      <c r="A1899" s="227" t="s">
        <v>1154</v>
      </c>
      <c r="B1899" s="231" t="s">
        <v>801</v>
      </c>
      <c r="C1899" s="229">
        <v>757.553937</v>
      </c>
      <c r="D1899" s="229">
        <v>757.553937</v>
      </c>
      <c r="E1899" s="229">
        <v>757.553937</v>
      </c>
      <c r="F1899" s="229"/>
      <c r="G1899" s="229"/>
      <c r="H1899" s="229"/>
      <c r="I1899" s="229"/>
      <c r="J1899" s="229"/>
      <c r="K1899" s="229"/>
      <c r="L1899" s="229"/>
      <c r="M1899" s="229"/>
      <c r="N1899" s="233" t="s">
        <v>578</v>
      </c>
    </row>
    <row r="1900" hidden="1" spans="1:14">
      <c r="A1900" s="235"/>
      <c r="B1900" s="230" t="s">
        <v>1039</v>
      </c>
      <c r="C1900" s="229">
        <v>9.5645</v>
      </c>
      <c r="D1900" s="229">
        <v>9.5645</v>
      </c>
      <c r="E1900" s="229">
        <v>9.5645</v>
      </c>
      <c r="F1900" s="229"/>
      <c r="G1900" s="229"/>
      <c r="H1900" s="229"/>
      <c r="I1900" s="229"/>
      <c r="J1900" s="229"/>
      <c r="K1900" s="229"/>
      <c r="L1900" s="229"/>
      <c r="M1900" s="229"/>
      <c r="N1900" s="232"/>
    </row>
    <row r="1901" hidden="1" spans="1:14">
      <c r="A1901" s="235"/>
      <c r="B1901" s="230" t="s">
        <v>1037</v>
      </c>
      <c r="C1901" s="229">
        <v>0.0735</v>
      </c>
      <c r="D1901" s="229">
        <v>0.0735</v>
      </c>
      <c r="E1901" s="229">
        <v>0.0735</v>
      </c>
      <c r="F1901" s="229"/>
      <c r="G1901" s="229"/>
      <c r="H1901" s="229"/>
      <c r="I1901" s="229"/>
      <c r="J1901" s="229"/>
      <c r="K1901" s="229"/>
      <c r="L1901" s="229"/>
      <c r="M1901" s="229"/>
      <c r="N1901" s="232"/>
    </row>
    <row r="1902" hidden="1" spans="1:14">
      <c r="A1902" s="235"/>
      <c r="B1902" s="230" t="s">
        <v>1038</v>
      </c>
      <c r="C1902" s="229">
        <v>0.03</v>
      </c>
      <c r="D1902" s="229">
        <v>0.03</v>
      </c>
      <c r="E1902" s="229">
        <v>0.03</v>
      </c>
      <c r="F1902" s="229"/>
      <c r="G1902" s="229"/>
      <c r="H1902" s="229"/>
      <c r="I1902" s="229"/>
      <c r="J1902" s="229"/>
      <c r="K1902" s="229"/>
      <c r="L1902" s="229"/>
      <c r="M1902" s="229"/>
      <c r="N1902" s="232"/>
    </row>
    <row r="1903" hidden="1" spans="1:14">
      <c r="A1903" s="235"/>
      <c r="B1903" s="230" t="s">
        <v>1045</v>
      </c>
      <c r="C1903" s="229">
        <v>2.94</v>
      </c>
      <c r="D1903" s="229">
        <v>2.94</v>
      </c>
      <c r="E1903" s="229">
        <v>2.94</v>
      </c>
      <c r="F1903" s="229"/>
      <c r="G1903" s="229"/>
      <c r="H1903" s="229"/>
      <c r="I1903" s="229"/>
      <c r="J1903" s="229"/>
      <c r="K1903" s="229"/>
      <c r="L1903" s="229"/>
      <c r="M1903" s="229"/>
      <c r="N1903" s="232"/>
    </row>
    <row r="1904" hidden="1" spans="1:14">
      <c r="A1904" s="235"/>
      <c r="B1904" s="230" t="s">
        <v>1031</v>
      </c>
      <c r="C1904" s="229">
        <v>22.86</v>
      </c>
      <c r="D1904" s="229">
        <v>22.86</v>
      </c>
      <c r="E1904" s="229">
        <v>22.86</v>
      </c>
      <c r="F1904" s="229"/>
      <c r="G1904" s="229"/>
      <c r="H1904" s="229"/>
      <c r="I1904" s="229"/>
      <c r="J1904" s="229"/>
      <c r="K1904" s="229"/>
      <c r="L1904" s="229"/>
      <c r="M1904" s="229"/>
      <c r="N1904" s="232"/>
    </row>
    <row r="1905" hidden="1" spans="1:14">
      <c r="A1905" s="235"/>
      <c r="B1905" s="230" t="s">
        <v>1036</v>
      </c>
      <c r="C1905" s="229">
        <v>57.387</v>
      </c>
      <c r="D1905" s="229">
        <v>57.387</v>
      </c>
      <c r="E1905" s="229">
        <v>57.387</v>
      </c>
      <c r="F1905" s="229"/>
      <c r="G1905" s="229"/>
      <c r="H1905" s="229"/>
      <c r="I1905" s="229"/>
      <c r="J1905" s="229"/>
      <c r="K1905" s="229"/>
      <c r="L1905" s="229"/>
      <c r="M1905" s="229"/>
      <c r="N1905" s="232"/>
    </row>
    <row r="1906" hidden="1" spans="1:14">
      <c r="A1906" s="235"/>
      <c r="B1906" s="230" t="s">
        <v>1033</v>
      </c>
      <c r="C1906" s="229">
        <v>130.353937</v>
      </c>
      <c r="D1906" s="229">
        <v>130.353937</v>
      </c>
      <c r="E1906" s="229">
        <v>130.353937</v>
      </c>
      <c r="F1906" s="229"/>
      <c r="G1906" s="229"/>
      <c r="H1906" s="229"/>
      <c r="I1906" s="229"/>
      <c r="J1906" s="229"/>
      <c r="K1906" s="229"/>
      <c r="L1906" s="229"/>
      <c r="M1906" s="229"/>
      <c r="N1906" s="232"/>
    </row>
    <row r="1907" hidden="1" spans="1:14">
      <c r="A1907" s="235"/>
      <c r="B1907" s="230" t="s">
        <v>1035</v>
      </c>
      <c r="C1907" s="229">
        <v>0.1</v>
      </c>
      <c r="D1907" s="229">
        <v>0.1</v>
      </c>
      <c r="E1907" s="229">
        <v>0.1</v>
      </c>
      <c r="F1907" s="229"/>
      <c r="G1907" s="229"/>
      <c r="H1907" s="229"/>
      <c r="I1907" s="229"/>
      <c r="J1907" s="229"/>
      <c r="K1907" s="229"/>
      <c r="L1907" s="229"/>
      <c r="M1907" s="229"/>
      <c r="N1907" s="232"/>
    </row>
    <row r="1908" hidden="1" spans="1:14">
      <c r="A1908" s="235"/>
      <c r="B1908" s="230" t="s">
        <v>1029</v>
      </c>
      <c r="C1908" s="229">
        <v>50.02</v>
      </c>
      <c r="D1908" s="229">
        <v>50.02</v>
      </c>
      <c r="E1908" s="229">
        <v>50.02</v>
      </c>
      <c r="F1908" s="229"/>
      <c r="G1908" s="229"/>
      <c r="H1908" s="229"/>
      <c r="I1908" s="229"/>
      <c r="J1908" s="229"/>
      <c r="K1908" s="229"/>
      <c r="L1908" s="229"/>
      <c r="M1908" s="229"/>
      <c r="N1908" s="232"/>
    </row>
    <row r="1909" hidden="1" spans="1:14">
      <c r="A1909" s="235"/>
      <c r="B1909" s="230" t="s">
        <v>1032</v>
      </c>
      <c r="C1909" s="229">
        <v>478.225</v>
      </c>
      <c r="D1909" s="229">
        <v>478.225</v>
      </c>
      <c r="E1909" s="229">
        <v>478.225</v>
      </c>
      <c r="F1909" s="229"/>
      <c r="G1909" s="229"/>
      <c r="H1909" s="229"/>
      <c r="I1909" s="229"/>
      <c r="J1909" s="229"/>
      <c r="K1909" s="229"/>
      <c r="L1909" s="229"/>
      <c r="M1909" s="229"/>
      <c r="N1909" s="232"/>
    </row>
    <row r="1910" hidden="1" spans="1:14">
      <c r="A1910" s="235"/>
      <c r="B1910" s="230" t="s">
        <v>1027</v>
      </c>
      <c r="C1910" s="229">
        <v>6</v>
      </c>
      <c r="D1910" s="229">
        <v>6</v>
      </c>
      <c r="E1910" s="229">
        <v>6</v>
      </c>
      <c r="F1910" s="229"/>
      <c r="G1910" s="229"/>
      <c r="H1910" s="229"/>
      <c r="I1910" s="229"/>
      <c r="J1910" s="229"/>
      <c r="K1910" s="229"/>
      <c r="L1910" s="229"/>
      <c r="M1910" s="229"/>
      <c r="N1910" s="232"/>
    </row>
    <row r="1911" spans="1:14">
      <c r="A1911" s="227" t="s">
        <v>802</v>
      </c>
      <c r="B1911" s="231" t="s">
        <v>803</v>
      </c>
      <c r="C1911" s="229">
        <v>525.105777</v>
      </c>
      <c r="D1911" s="229">
        <v>525.105777</v>
      </c>
      <c r="E1911" s="229">
        <v>525.105777</v>
      </c>
      <c r="F1911" s="229"/>
      <c r="G1911" s="229"/>
      <c r="H1911" s="229"/>
      <c r="I1911" s="229"/>
      <c r="J1911" s="229"/>
      <c r="K1911" s="229"/>
      <c r="L1911" s="229"/>
      <c r="M1911" s="229"/>
      <c r="N1911" s="233" t="s">
        <v>578</v>
      </c>
    </row>
    <row r="1912" hidden="1" spans="1:14">
      <c r="A1912" s="235"/>
      <c r="B1912" s="230" t="s">
        <v>1037</v>
      </c>
      <c r="C1912" s="229">
        <v>0.31536</v>
      </c>
      <c r="D1912" s="229">
        <v>0.31536</v>
      </c>
      <c r="E1912" s="229">
        <v>0.31536</v>
      </c>
      <c r="F1912" s="229"/>
      <c r="G1912" s="229"/>
      <c r="H1912" s="229"/>
      <c r="I1912" s="229"/>
      <c r="J1912" s="229"/>
      <c r="K1912" s="229"/>
      <c r="L1912" s="229"/>
      <c r="M1912" s="229"/>
      <c r="N1912" s="232"/>
    </row>
    <row r="1913" hidden="1" spans="1:14">
      <c r="A1913" s="235"/>
      <c r="B1913" s="230" t="s">
        <v>1038</v>
      </c>
      <c r="C1913" s="229">
        <v>0.12</v>
      </c>
      <c r="D1913" s="229">
        <v>0.12</v>
      </c>
      <c r="E1913" s="229">
        <v>0.12</v>
      </c>
      <c r="F1913" s="229"/>
      <c r="G1913" s="229"/>
      <c r="H1913" s="229"/>
      <c r="I1913" s="229"/>
      <c r="J1913" s="229"/>
      <c r="K1913" s="229"/>
      <c r="L1913" s="229"/>
      <c r="M1913" s="229"/>
      <c r="N1913" s="232"/>
    </row>
    <row r="1914" hidden="1" spans="1:14">
      <c r="A1914" s="235"/>
      <c r="B1914" s="230" t="s">
        <v>1028</v>
      </c>
      <c r="C1914" s="229">
        <v>12.6144</v>
      </c>
      <c r="D1914" s="229">
        <v>12.6144</v>
      </c>
      <c r="E1914" s="229">
        <v>12.6144</v>
      </c>
      <c r="F1914" s="229"/>
      <c r="G1914" s="229"/>
      <c r="H1914" s="229"/>
      <c r="I1914" s="229"/>
      <c r="J1914" s="229"/>
      <c r="K1914" s="229"/>
      <c r="L1914" s="229"/>
      <c r="M1914" s="229"/>
      <c r="N1914" s="232"/>
    </row>
    <row r="1915" hidden="1" spans="1:14">
      <c r="A1915" s="235"/>
      <c r="B1915" s="230" t="s">
        <v>1030</v>
      </c>
      <c r="C1915" s="229">
        <v>4</v>
      </c>
      <c r="D1915" s="229">
        <v>4</v>
      </c>
      <c r="E1915" s="229">
        <v>4</v>
      </c>
      <c r="F1915" s="229"/>
      <c r="G1915" s="229"/>
      <c r="H1915" s="229"/>
      <c r="I1915" s="229"/>
      <c r="J1915" s="229"/>
      <c r="K1915" s="229"/>
      <c r="L1915" s="229"/>
      <c r="M1915" s="229"/>
      <c r="N1915" s="232"/>
    </row>
    <row r="1916" hidden="1" spans="1:14">
      <c r="A1916" s="235"/>
      <c r="B1916" s="230" t="s">
        <v>1031</v>
      </c>
      <c r="C1916" s="229">
        <v>12.396</v>
      </c>
      <c r="D1916" s="229">
        <v>12.396</v>
      </c>
      <c r="E1916" s="229">
        <v>12.396</v>
      </c>
      <c r="F1916" s="229"/>
      <c r="G1916" s="229"/>
      <c r="H1916" s="229"/>
      <c r="I1916" s="229"/>
      <c r="J1916" s="229"/>
      <c r="K1916" s="229"/>
      <c r="L1916" s="229"/>
      <c r="M1916" s="229"/>
      <c r="N1916" s="232"/>
    </row>
    <row r="1917" hidden="1" spans="1:14">
      <c r="A1917" s="235"/>
      <c r="B1917" s="230" t="s">
        <v>1036</v>
      </c>
      <c r="C1917" s="229">
        <v>38.842908</v>
      </c>
      <c r="D1917" s="229">
        <v>38.842908</v>
      </c>
      <c r="E1917" s="229">
        <v>38.842908</v>
      </c>
      <c r="F1917" s="229"/>
      <c r="G1917" s="229"/>
      <c r="H1917" s="229"/>
      <c r="I1917" s="229"/>
      <c r="J1917" s="229"/>
      <c r="K1917" s="229"/>
      <c r="L1917" s="229"/>
      <c r="M1917" s="229"/>
      <c r="N1917" s="232"/>
    </row>
    <row r="1918" hidden="1" spans="1:14">
      <c r="A1918" s="235"/>
      <c r="B1918" s="230" t="s">
        <v>1033</v>
      </c>
      <c r="C1918" s="229">
        <v>88.649391</v>
      </c>
      <c r="D1918" s="229">
        <v>88.649391</v>
      </c>
      <c r="E1918" s="229">
        <v>88.649391</v>
      </c>
      <c r="F1918" s="229"/>
      <c r="G1918" s="229"/>
      <c r="H1918" s="229"/>
      <c r="I1918" s="229"/>
      <c r="J1918" s="229"/>
      <c r="K1918" s="229"/>
      <c r="L1918" s="229"/>
      <c r="M1918" s="229"/>
      <c r="N1918" s="232"/>
    </row>
    <row r="1919" hidden="1" spans="1:14">
      <c r="A1919" s="235"/>
      <c r="B1919" s="230" t="s">
        <v>1035</v>
      </c>
      <c r="C1919" s="229">
        <v>0.4</v>
      </c>
      <c r="D1919" s="229">
        <v>0.4</v>
      </c>
      <c r="E1919" s="229">
        <v>0.4</v>
      </c>
      <c r="F1919" s="229"/>
      <c r="G1919" s="229"/>
      <c r="H1919" s="229"/>
      <c r="I1919" s="229"/>
      <c r="J1919" s="229"/>
      <c r="K1919" s="229"/>
      <c r="L1919" s="229"/>
      <c r="M1919" s="229"/>
      <c r="N1919" s="232"/>
    </row>
    <row r="1920" hidden="1" spans="1:14">
      <c r="A1920" s="235"/>
      <c r="B1920" s="230" t="s">
        <v>1029</v>
      </c>
      <c r="C1920" s="229">
        <v>31.603</v>
      </c>
      <c r="D1920" s="229">
        <v>31.603</v>
      </c>
      <c r="E1920" s="229">
        <v>31.603</v>
      </c>
      <c r="F1920" s="229"/>
      <c r="G1920" s="229"/>
      <c r="H1920" s="229"/>
      <c r="I1920" s="229"/>
      <c r="J1920" s="229"/>
      <c r="K1920" s="229"/>
      <c r="L1920" s="229"/>
      <c r="M1920" s="229"/>
      <c r="N1920" s="232"/>
    </row>
    <row r="1921" hidden="1" spans="1:14">
      <c r="A1921" s="235"/>
      <c r="B1921" s="230" t="s">
        <v>1032</v>
      </c>
      <c r="C1921" s="229">
        <v>323.6909</v>
      </c>
      <c r="D1921" s="229">
        <v>323.6909</v>
      </c>
      <c r="E1921" s="229">
        <v>323.6909</v>
      </c>
      <c r="F1921" s="229"/>
      <c r="G1921" s="229"/>
      <c r="H1921" s="229"/>
      <c r="I1921" s="229"/>
      <c r="J1921" s="229"/>
      <c r="K1921" s="229"/>
      <c r="L1921" s="229"/>
      <c r="M1921" s="229"/>
      <c r="N1921" s="232"/>
    </row>
    <row r="1922" hidden="1" spans="1:14">
      <c r="A1922" s="235"/>
      <c r="B1922" s="230" t="s">
        <v>1027</v>
      </c>
      <c r="C1922" s="229">
        <v>6</v>
      </c>
      <c r="D1922" s="229">
        <v>6</v>
      </c>
      <c r="E1922" s="229">
        <v>6</v>
      </c>
      <c r="F1922" s="229"/>
      <c r="G1922" s="229"/>
      <c r="H1922" s="229"/>
      <c r="I1922" s="229"/>
      <c r="J1922" s="229"/>
      <c r="K1922" s="229"/>
      <c r="L1922" s="229"/>
      <c r="M1922" s="229"/>
      <c r="N1922" s="232"/>
    </row>
    <row r="1923" hidden="1" spans="1:14">
      <c r="A1923" s="235"/>
      <c r="B1923" s="230" t="s">
        <v>1039</v>
      </c>
      <c r="C1923" s="229">
        <v>6.473818</v>
      </c>
      <c r="D1923" s="229">
        <v>6.473818</v>
      </c>
      <c r="E1923" s="229">
        <v>6.473818</v>
      </c>
      <c r="F1923" s="229"/>
      <c r="G1923" s="229"/>
      <c r="H1923" s="229"/>
      <c r="I1923" s="229"/>
      <c r="J1923" s="229"/>
      <c r="K1923" s="229"/>
      <c r="L1923" s="229"/>
      <c r="M1923" s="229"/>
      <c r="N1923" s="232"/>
    </row>
    <row r="1924" spans="1:14">
      <c r="A1924" s="227">
        <v>610001</v>
      </c>
      <c r="B1924" s="231" t="s">
        <v>805</v>
      </c>
      <c r="C1924" s="229">
        <v>147.347698</v>
      </c>
      <c r="D1924" s="229">
        <v>147.347698</v>
      </c>
      <c r="E1924" s="229">
        <v>147.347698</v>
      </c>
      <c r="F1924" s="229"/>
      <c r="G1924" s="229"/>
      <c r="H1924" s="229"/>
      <c r="I1924" s="229"/>
      <c r="J1924" s="229"/>
      <c r="K1924" s="229"/>
      <c r="L1924" s="229"/>
      <c r="M1924" s="229"/>
      <c r="N1924" s="233" t="s">
        <v>578</v>
      </c>
    </row>
    <row r="1925" hidden="1" spans="1:14">
      <c r="A1925" s="235"/>
      <c r="B1925" s="230" t="s">
        <v>1037</v>
      </c>
      <c r="C1925" s="229">
        <v>0.080988</v>
      </c>
      <c r="D1925" s="229">
        <v>0.080988</v>
      </c>
      <c r="E1925" s="229">
        <v>0.080988</v>
      </c>
      <c r="F1925" s="229"/>
      <c r="G1925" s="229"/>
      <c r="H1925" s="229"/>
      <c r="I1925" s="229"/>
      <c r="J1925" s="229"/>
      <c r="K1925" s="229"/>
      <c r="L1925" s="229"/>
      <c r="M1925" s="229"/>
      <c r="N1925" s="232"/>
    </row>
    <row r="1926" hidden="1" spans="1:14">
      <c r="A1926" s="235"/>
      <c r="B1926" s="230" t="s">
        <v>1028</v>
      </c>
      <c r="C1926" s="229">
        <v>3.23952</v>
      </c>
      <c r="D1926" s="229">
        <v>3.23952</v>
      </c>
      <c r="E1926" s="229">
        <v>3.23952</v>
      </c>
      <c r="F1926" s="229"/>
      <c r="G1926" s="229"/>
      <c r="H1926" s="229"/>
      <c r="I1926" s="229"/>
      <c r="J1926" s="229"/>
      <c r="K1926" s="229"/>
      <c r="L1926" s="229"/>
      <c r="M1926" s="229"/>
      <c r="N1926" s="232"/>
    </row>
    <row r="1927" hidden="1" spans="1:14">
      <c r="A1927" s="235"/>
      <c r="B1927" s="230" t="s">
        <v>1031</v>
      </c>
      <c r="C1927" s="229">
        <v>3.228</v>
      </c>
      <c r="D1927" s="229">
        <v>3.228</v>
      </c>
      <c r="E1927" s="229">
        <v>3.228</v>
      </c>
      <c r="F1927" s="229"/>
      <c r="G1927" s="229"/>
      <c r="H1927" s="229"/>
      <c r="I1927" s="229"/>
      <c r="J1927" s="229"/>
      <c r="K1927" s="229"/>
      <c r="L1927" s="229"/>
      <c r="M1927" s="229"/>
      <c r="N1927" s="232"/>
    </row>
    <row r="1928" hidden="1" spans="1:14">
      <c r="A1928" s="235"/>
      <c r="B1928" s="230" t="s">
        <v>1036</v>
      </c>
      <c r="C1928" s="229">
        <v>10.907735</v>
      </c>
      <c r="D1928" s="229">
        <v>10.907735</v>
      </c>
      <c r="E1928" s="229">
        <v>10.907735</v>
      </c>
      <c r="F1928" s="229"/>
      <c r="G1928" s="229"/>
      <c r="H1928" s="229"/>
      <c r="I1928" s="229"/>
      <c r="J1928" s="229"/>
      <c r="K1928" s="229"/>
      <c r="L1928" s="229"/>
      <c r="M1928" s="229"/>
      <c r="N1928" s="232"/>
    </row>
    <row r="1929" hidden="1" spans="1:14">
      <c r="A1929" s="235"/>
      <c r="B1929" s="230" t="s">
        <v>1033</v>
      </c>
      <c r="C1929" s="229">
        <v>24.875707</v>
      </c>
      <c r="D1929" s="229">
        <v>24.875707</v>
      </c>
      <c r="E1929" s="229">
        <v>24.875707</v>
      </c>
      <c r="F1929" s="229"/>
      <c r="G1929" s="229"/>
      <c r="H1929" s="229"/>
      <c r="I1929" s="229"/>
      <c r="J1929" s="229"/>
      <c r="K1929" s="229"/>
      <c r="L1929" s="229"/>
      <c r="M1929" s="229"/>
      <c r="N1929" s="232"/>
    </row>
    <row r="1930" hidden="1" spans="1:14">
      <c r="A1930" s="235"/>
      <c r="B1930" s="230" t="s">
        <v>1035</v>
      </c>
      <c r="C1930" s="229">
        <v>0.1</v>
      </c>
      <c r="D1930" s="229">
        <v>0.1</v>
      </c>
      <c r="E1930" s="229">
        <v>0.1</v>
      </c>
      <c r="F1930" s="229"/>
      <c r="G1930" s="229"/>
      <c r="H1930" s="229"/>
      <c r="I1930" s="229"/>
      <c r="J1930" s="229"/>
      <c r="K1930" s="229"/>
      <c r="L1930" s="229"/>
      <c r="M1930" s="229"/>
      <c r="N1930" s="232"/>
    </row>
    <row r="1931" hidden="1" spans="1:14">
      <c r="A1931" s="235"/>
      <c r="B1931" s="230" t="s">
        <v>1029</v>
      </c>
      <c r="C1931" s="229">
        <v>12.2</v>
      </c>
      <c r="D1931" s="229">
        <v>12.2</v>
      </c>
      <c r="E1931" s="229">
        <v>12.2</v>
      </c>
      <c r="F1931" s="229"/>
      <c r="G1931" s="229"/>
      <c r="H1931" s="229"/>
      <c r="I1931" s="229"/>
      <c r="J1931" s="229"/>
      <c r="K1931" s="229"/>
      <c r="L1931" s="229"/>
      <c r="M1931" s="229"/>
      <c r="N1931" s="232"/>
    </row>
    <row r="1932" hidden="1" spans="1:14">
      <c r="A1932" s="235"/>
      <c r="B1932" s="230" t="s">
        <v>1032</v>
      </c>
      <c r="C1932" s="229">
        <v>90.897792</v>
      </c>
      <c r="D1932" s="229">
        <v>90.897792</v>
      </c>
      <c r="E1932" s="229">
        <v>90.897792</v>
      </c>
      <c r="F1932" s="229"/>
      <c r="G1932" s="229"/>
      <c r="H1932" s="229"/>
      <c r="I1932" s="229"/>
      <c r="J1932" s="229"/>
      <c r="K1932" s="229"/>
      <c r="L1932" s="229"/>
      <c r="M1932" s="229"/>
      <c r="N1932" s="232"/>
    </row>
    <row r="1933" hidden="1" spans="1:14">
      <c r="A1933" s="235"/>
      <c r="B1933" s="230" t="s">
        <v>1039</v>
      </c>
      <c r="C1933" s="229">
        <v>1.817956</v>
      </c>
      <c r="D1933" s="229">
        <v>1.817956</v>
      </c>
      <c r="E1933" s="229">
        <v>1.817956</v>
      </c>
      <c r="F1933" s="229"/>
      <c r="G1933" s="229"/>
      <c r="H1933" s="229"/>
      <c r="I1933" s="229"/>
      <c r="J1933" s="229"/>
      <c r="K1933" s="229"/>
      <c r="L1933" s="229"/>
      <c r="M1933" s="229"/>
      <c r="N1933" s="232"/>
    </row>
    <row r="1934" spans="1:14">
      <c r="A1934" s="225"/>
      <c r="B1934" s="226" t="s">
        <v>810</v>
      </c>
      <c r="C1934" s="205">
        <v>24812.058783</v>
      </c>
      <c r="D1934" s="205">
        <v>24812.058783</v>
      </c>
      <c r="E1934" s="205">
        <v>24812.058783</v>
      </c>
      <c r="F1934" s="205"/>
      <c r="G1934" s="229"/>
      <c r="H1934" s="229"/>
      <c r="I1934" s="229"/>
      <c r="J1934" s="229"/>
      <c r="K1934" s="229"/>
      <c r="L1934" s="229"/>
      <c r="M1934" s="229"/>
      <c r="N1934" s="232" t="s">
        <v>578</v>
      </c>
    </row>
    <row r="1935" hidden="1" spans="1:14">
      <c r="A1935" s="209">
        <v>806001</v>
      </c>
      <c r="B1935" s="231" t="s">
        <v>813</v>
      </c>
      <c r="C1935" s="229">
        <v>651.650741</v>
      </c>
      <c r="D1935" s="229">
        <v>651.650741</v>
      </c>
      <c r="E1935" s="229">
        <v>651.650741</v>
      </c>
      <c r="F1935" s="229"/>
      <c r="G1935" s="229"/>
      <c r="H1935" s="229"/>
      <c r="I1935" s="229"/>
      <c r="J1935" s="229"/>
      <c r="K1935" s="229"/>
      <c r="L1935" s="229"/>
      <c r="M1935" s="229"/>
      <c r="N1935" s="233"/>
    </row>
    <row r="1936" hidden="1" spans="1:14">
      <c r="A1936" s="235"/>
      <c r="B1936" s="230" t="s">
        <v>1039</v>
      </c>
      <c r="C1936" s="229">
        <v>6.323796</v>
      </c>
      <c r="D1936" s="229">
        <v>6.323796</v>
      </c>
      <c r="E1936" s="229">
        <v>6.323796</v>
      </c>
      <c r="F1936" s="229"/>
      <c r="G1936" s="229"/>
      <c r="H1936" s="229"/>
      <c r="I1936" s="229"/>
      <c r="J1936" s="229"/>
      <c r="K1936" s="229"/>
      <c r="L1936" s="229"/>
      <c r="M1936" s="229"/>
      <c r="N1936" s="232"/>
    </row>
    <row r="1937" hidden="1" spans="1:14">
      <c r="A1937" s="235"/>
      <c r="B1937" s="230" t="s">
        <v>1037</v>
      </c>
      <c r="C1937" s="229">
        <v>5.82753</v>
      </c>
      <c r="D1937" s="229">
        <v>5.82753</v>
      </c>
      <c r="E1937" s="229">
        <v>5.82753</v>
      </c>
      <c r="F1937" s="229"/>
      <c r="G1937" s="229"/>
      <c r="H1937" s="229"/>
      <c r="I1937" s="229"/>
      <c r="J1937" s="229"/>
      <c r="K1937" s="229"/>
      <c r="L1937" s="229"/>
      <c r="M1937" s="229"/>
      <c r="N1937" s="232"/>
    </row>
    <row r="1938" hidden="1" spans="1:14">
      <c r="A1938" s="235"/>
      <c r="B1938" s="230" t="s">
        <v>1031</v>
      </c>
      <c r="C1938" s="229">
        <v>16.548</v>
      </c>
      <c r="D1938" s="229">
        <v>16.548</v>
      </c>
      <c r="E1938" s="229">
        <v>16.548</v>
      </c>
      <c r="F1938" s="229"/>
      <c r="G1938" s="229"/>
      <c r="H1938" s="229"/>
      <c r="I1938" s="229"/>
      <c r="J1938" s="229"/>
      <c r="K1938" s="229"/>
      <c r="L1938" s="229"/>
      <c r="M1938" s="229"/>
      <c r="N1938" s="232"/>
    </row>
    <row r="1939" hidden="1" spans="1:14">
      <c r="A1939" s="235"/>
      <c r="B1939" s="230" t="s">
        <v>1029</v>
      </c>
      <c r="C1939" s="229">
        <v>38.88</v>
      </c>
      <c r="D1939" s="229">
        <v>38.88</v>
      </c>
      <c r="E1939" s="229">
        <v>38.88</v>
      </c>
      <c r="F1939" s="229"/>
      <c r="G1939" s="229"/>
      <c r="H1939" s="229"/>
      <c r="I1939" s="229"/>
      <c r="J1939" s="229"/>
      <c r="K1939" s="229"/>
      <c r="L1939" s="229"/>
      <c r="M1939" s="229"/>
      <c r="N1939" s="232"/>
    </row>
    <row r="1940" hidden="1" spans="1:14">
      <c r="A1940" s="235"/>
      <c r="B1940" s="230" t="s">
        <v>1033</v>
      </c>
      <c r="C1940" s="229">
        <v>108.497639</v>
      </c>
      <c r="D1940" s="229">
        <v>108.497639</v>
      </c>
      <c r="E1940" s="229">
        <v>108.497639</v>
      </c>
      <c r="F1940" s="229"/>
      <c r="G1940" s="229"/>
      <c r="H1940" s="229"/>
      <c r="I1940" s="229"/>
      <c r="J1940" s="229"/>
      <c r="K1940" s="229"/>
      <c r="L1940" s="229"/>
      <c r="M1940" s="229"/>
      <c r="N1940" s="232"/>
    </row>
    <row r="1941" hidden="1" spans="1:14">
      <c r="A1941" s="235"/>
      <c r="B1941" s="230" t="s">
        <v>1036</v>
      </c>
      <c r="C1941" s="229">
        <v>37.942776</v>
      </c>
      <c r="D1941" s="229">
        <v>37.942776</v>
      </c>
      <c r="E1941" s="229">
        <v>37.942776</v>
      </c>
      <c r="F1941" s="229"/>
      <c r="G1941" s="229"/>
      <c r="H1941" s="229"/>
      <c r="I1941" s="229"/>
      <c r="J1941" s="229"/>
      <c r="K1941" s="229"/>
      <c r="L1941" s="229"/>
      <c r="M1941" s="229"/>
      <c r="N1941" s="232"/>
    </row>
    <row r="1942" hidden="1" spans="1:14">
      <c r="A1942" s="235"/>
      <c r="B1942" s="230" t="s">
        <v>1030</v>
      </c>
      <c r="C1942" s="229">
        <v>8</v>
      </c>
      <c r="D1942" s="229">
        <v>8</v>
      </c>
      <c r="E1942" s="229">
        <v>8</v>
      </c>
      <c r="F1942" s="229"/>
      <c r="G1942" s="229"/>
      <c r="H1942" s="229"/>
      <c r="I1942" s="229"/>
      <c r="J1942" s="229"/>
      <c r="K1942" s="229"/>
      <c r="L1942" s="229"/>
      <c r="M1942" s="229"/>
      <c r="N1942" s="232"/>
    </row>
    <row r="1943" hidden="1" spans="1:14">
      <c r="A1943" s="235"/>
      <c r="B1943" s="230" t="s">
        <v>1032</v>
      </c>
      <c r="C1943" s="229">
        <v>316.1898</v>
      </c>
      <c r="D1943" s="229">
        <v>316.1898</v>
      </c>
      <c r="E1943" s="229">
        <v>316.1898</v>
      </c>
      <c r="F1943" s="229"/>
      <c r="G1943" s="229"/>
      <c r="H1943" s="229"/>
      <c r="I1943" s="229"/>
      <c r="J1943" s="229"/>
      <c r="K1943" s="229"/>
      <c r="L1943" s="229"/>
      <c r="M1943" s="229"/>
      <c r="N1943" s="232"/>
    </row>
    <row r="1944" hidden="1" spans="1:14">
      <c r="A1944" s="235"/>
      <c r="B1944" s="230" t="s">
        <v>1028</v>
      </c>
      <c r="C1944" s="229">
        <v>109.7412</v>
      </c>
      <c r="D1944" s="229">
        <v>109.7412</v>
      </c>
      <c r="E1944" s="229">
        <v>109.7412</v>
      </c>
      <c r="F1944" s="229"/>
      <c r="G1944" s="229"/>
      <c r="H1944" s="229"/>
      <c r="I1944" s="229"/>
      <c r="J1944" s="229"/>
      <c r="K1944" s="229"/>
      <c r="L1944" s="229"/>
      <c r="M1944" s="229"/>
      <c r="N1944" s="232"/>
    </row>
    <row r="1945" hidden="1" spans="1:14">
      <c r="A1945" s="235"/>
      <c r="B1945" s="230" t="s">
        <v>1035</v>
      </c>
      <c r="C1945" s="229">
        <v>3.7</v>
      </c>
      <c r="D1945" s="229">
        <v>3.7</v>
      </c>
      <c r="E1945" s="229">
        <v>3.7</v>
      </c>
      <c r="F1945" s="229"/>
      <c r="G1945" s="229"/>
      <c r="H1945" s="229"/>
      <c r="I1945" s="229"/>
      <c r="J1945" s="229"/>
      <c r="K1945" s="229"/>
      <c r="L1945" s="229"/>
      <c r="M1945" s="229"/>
      <c r="N1945" s="232"/>
    </row>
    <row r="1946" hidden="1" spans="1:14">
      <c r="A1946" s="209">
        <v>806002</v>
      </c>
      <c r="B1946" s="231" t="s">
        <v>815</v>
      </c>
      <c r="C1946" s="229">
        <v>228.933334</v>
      </c>
      <c r="D1946" s="229">
        <v>228.933334</v>
      </c>
      <c r="E1946" s="229">
        <v>228.933334</v>
      </c>
      <c r="F1946" s="229"/>
      <c r="G1946" s="229"/>
      <c r="H1946" s="229"/>
      <c r="I1946" s="229"/>
      <c r="J1946" s="229"/>
      <c r="K1946" s="229"/>
      <c r="L1946" s="229"/>
      <c r="M1946" s="229"/>
      <c r="N1946" s="233"/>
    </row>
    <row r="1947" hidden="1" spans="1:14">
      <c r="A1947" s="235"/>
      <c r="B1947" s="230" t="s">
        <v>1039</v>
      </c>
      <c r="C1947" s="229">
        <v>2.893848</v>
      </c>
      <c r="D1947" s="229">
        <v>2.893848</v>
      </c>
      <c r="E1947" s="229">
        <v>2.893848</v>
      </c>
      <c r="F1947" s="229"/>
      <c r="G1947" s="229"/>
      <c r="H1947" s="229"/>
      <c r="I1947" s="229"/>
      <c r="J1947" s="229"/>
      <c r="K1947" s="229"/>
      <c r="L1947" s="229"/>
      <c r="M1947" s="229"/>
      <c r="N1947" s="232"/>
    </row>
    <row r="1948" hidden="1" spans="1:14">
      <c r="A1948" s="235"/>
      <c r="B1948" s="230" t="s">
        <v>1033</v>
      </c>
      <c r="C1948" s="229">
        <v>41.809998</v>
      </c>
      <c r="D1948" s="229">
        <v>41.809998</v>
      </c>
      <c r="E1948" s="229">
        <v>41.809998</v>
      </c>
      <c r="F1948" s="229"/>
      <c r="G1948" s="229"/>
      <c r="H1948" s="229"/>
      <c r="I1948" s="229"/>
      <c r="J1948" s="229"/>
      <c r="K1948" s="229"/>
      <c r="L1948" s="229"/>
      <c r="M1948" s="229"/>
      <c r="N1948" s="232"/>
    </row>
    <row r="1949" hidden="1" spans="1:14">
      <c r="A1949" s="235"/>
      <c r="B1949" s="230" t="s">
        <v>1036</v>
      </c>
      <c r="C1949" s="229">
        <v>17.363088</v>
      </c>
      <c r="D1949" s="229">
        <v>17.363088</v>
      </c>
      <c r="E1949" s="229">
        <v>17.363088</v>
      </c>
      <c r="F1949" s="229"/>
      <c r="G1949" s="229"/>
      <c r="H1949" s="229"/>
      <c r="I1949" s="229"/>
      <c r="J1949" s="229"/>
      <c r="K1949" s="229"/>
      <c r="L1949" s="229"/>
      <c r="M1949" s="229"/>
      <c r="N1949" s="232"/>
    </row>
    <row r="1950" hidden="1" spans="1:14">
      <c r="A1950" s="235"/>
      <c r="B1950" s="230" t="s">
        <v>1035</v>
      </c>
      <c r="C1950" s="229">
        <v>0.4</v>
      </c>
      <c r="D1950" s="229">
        <v>0.4</v>
      </c>
      <c r="E1950" s="229">
        <v>0.4</v>
      </c>
      <c r="F1950" s="229"/>
      <c r="G1950" s="229"/>
      <c r="H1950" s="229"/>
      <c r="I1950" s="229"/>
      <c r="J1950" s="229"/>
      <c r="K1950" s="229"/>
      <c r="L1950" s="229"/>
      <c r="M1950" s="229"/>
      <c r="N1950" s="232"/>
    </row>
    <row r="1951" hidden="1" spans="1:14">
      <c r="A1951" s="235"/>
      <c r="B1951" s="230" t="s">
        <v>1032</v>
      </c>
      <c r="C1951" s="229">
        <v>144.6924</v>
      </c>
      <c r="D1951" s="229">
        <v>144.6924</v>
      </c>
      <c r="E1951" s="229">
        <v>144.6924</v>
      </c>
      <c r="F1951" s="229"/>
      <c r="G1951" s="229"/>
      <c r="H1951" s="229"/>
      <c r="I1951" s="229"/>
      <c r="J1951" s="229"/>
      <c r="K1951" s="229"/>
      <c r="L1951" s="229"/>
      <c r="M1951" s="229"/>
      <c r="N1951" s="232"/>
    </row>
    <row r="1952" hidden="1" spans="1:14">
      <c r="A1952" s="235"/>
      <c r="B1952" s="230" t="s">
        <v>1037</v>
      </c>
      <c r="C1952" s="229">
        <v>0.294</v>
      </c>
      <c r="D1952" s="229">
        <v>0.294</v>
      </c>
      <c r="E1952" s="229">
        <v>0.294</v>
      </c>
      <c r="F1952" s="229"/>
      <c r="G1952" s="229"/>
      <c r="H1952" s="229"/>
      <c r="I1952" s="229"/>
      <c r="J1952" s="229"/>
      <c r="K1952" s="229"/>
      <c r="L1952" s="229"/>
      <c r="M1952" s="229"/>
      <c r="N1952" s="232"/>
    </row>
    <row r="1953" hidden="1" spans="1:14">
      <c r="A1953" s="235"/>
      <c r="B1953" s="230" t="s">
        <v>1028</v>
      </c>
      <c r="C1953" s="229">
        <v>11.76</v>
      </c>
      <c r="D1953" s="229">
        <v>11.76</v>
      </c>
      <c r="E1953" s="229">
        <v>11.76</v>
      </c>
      <c r="F1953" s="229"/>
      <c r="G1953" s="229"/>
      <c r="H1953" s="229"/>
      <c r="I1953" s="229"/>
      <c r="J1953" s="229"/>
      <c r="K1953" s="229"/>
      <c r="L1953" s="229"/>
      <c r="M1953" s="229"/>
      <c r="N1953" s="232"/>
    </row>
    <row r="1954" hidden="1" spans="1:14">
      <c r="A1954" s="235"/>
      <c r="B1954" s="230" t="s">
        <v>1029</v>
      </c>
      <c r="C1954" s="229">
        <v>9.72</v>
      </c>
      <c r="D1954" s="229">
        <v>9.72</v>
      </c>
      <c r="E1954" s="229">
        <v>9.72</v>
      </c>
      <c r="F1954" s="229"/>
      <c r="G1954" s="229"/>
      <c r="H1954" s="229"/>
      <c r="I1954" s="229"/>
      <c r="J1954" s="229"/>
      <c r="K1954" s="229"/>
      <c r="L1954" s="229"/>
      <c r="M1954" s="229"/>
      <c r="N1954" s="232"/>
    </row>
    <row r="1955" hidden="1" spans="1:14">
      <c r="A1955" s="209">
        <v>806003</v>
      </c>
      <c r="B1955" s="231" t="s">
        <v>817</v>
      </c>
      <c r="C1955" s="229">
        <v>254.904405</v>
      </c>
      <c r="D1955" s="229">
        <v>254.904405</v>
      </c>
      <c r="E1955" s="229">
        <v>254.904405</v>
      </c>
      <c r="F1955" s="229"/>
      <c r="G1955" s="229"/>
      <c r="H1955" s="229"/>
      <c r="I1955" s="229"/>
      <c r="J1955" s="229"/>
      <c r="K1955" s="229"/>
      <c r="L1955" s="229"/>
      <c r="M1955" s="229"/>
      <c r="N1955" s="233"/>
    </row>
    <row r="1956" hidden="1" spans="1:14">
      <c r="A1956" s="235"/>
      <c r="B1956" s="230" t="s">
        <v>1028</v>
      </c>
      <c r="C1956" s="229">
        <v>11.76</v>
      </c>
      <c r="D1956" s="229">
        <v>11.76</v>
      </c>
      <c r="E1956" s="229">
        <v>11.76</v>
      </c>
      <c r="F1956" s="229"/>
      <c r="G1956" s="229"/>
      <c r="H1956" s="229"/>
      <c r="I1956" s="229"/>
      <c r="J1956" s="229"/>
      <c r="K1956" s="229"/>
      <c r="L1956" s="229"/>
      <c r="M1956" s="229"/>
      <c r="N1956" s="232"/>
    </row>
    <row r="1957" hidden="1" spans="1:14">
      <c r="A1957" s="235"/>
      <c r="B1957" s="230" t="s">
        <v>1036</v>
      </c>
      <c r="C1957" s="229">
        <v>19.354896</v>
      </c>
      <c r="D1957" s="229">
        <v>19.354896</v>
      </c>
      <c r="E1957" s="229">
        <v>19.354896</v>
      </c>
      <c r="F1957" s="229"/>
      <c r="G1957" s="229"/>
      <c r="H1957" s="229"/>
      <c r="I1957" s="229"/>
      <c r="J1957" s="229"/>
      <c r="K1957" s="229"/>
      <c r="L1957" s="229"/>
      <c r="M1957" s="229"/>
      <c r="N1957" s="232"/>
    </row>
    <row r="1958" hidden="1" spans="1:14">
      <c r="A1958" s="235"/>
      <c r="B1958" s="230" t="s">
        <v>1029</v>
      </c>
      <c r="C1958" s="229">
        <v>11.34</v>
      </c>
      <c r="D1958" s="229">
        <v>11.34</v>
      </c>
      <c r="E1958" s="229">
        <v>11.34</v>
      </c>
      <c r="F1958" s="229"/>
      <c r="G1958" s="229"/>
      <c r="H1958" s="229"/>
      <c r="I1958" s="229"/>
      <c r="J1958" s="229"/>
      <c r="K1958" s="229"/>
      <c r="L1958" s="229"/>
      <c r="M1958" s="229"/>
      <c r="N1958" s="232"/>
    </row>
    <row r="1959" hidden="1" spans="1:14">
      <c r="A1959" s="235"/>
      <c r="B1959" s="230" t="s">
        <v>1031</v>
      </c>
      <c r="C1959" s="229">
        <v>0.66</v>
      </c>
      <c r="D1959" s="229">
        <v>0.66</v>
      </c>
      <c r="E1959" s="229">
        <v>0.66</v>
      </c>
      <c r="F1959" s="229"/>
      <c r="G1959" s="229"/>
      <c r="H1959" s="229"/>
      <c r="I1959" s="229"/>
      <c r="J1959" s="229"/>
      <c r="K1959" s="229"/>
      <c r="L1959" s="229"/>
      <c r="M1959" s="229"/>
      <c r="N1959" s="232"/>
    </row>
    <row r="1960" hidden="1" spans="1:14">
      <c r="A1960" s="235"/>
      <c r="B1960" s="230" t="s">
        <v>1035</v>
      </c>
      <c r="C1960" s="229">
        <v>0.4</v>
      </c>
      <c r="D1960" s="229">
        <v>0.4</v>
      </c>
      <c r="E1960" s="229">
        <v>0.4</v>
      </c>
      <c r="F1960" s="229"/>
      <c r="G1960" s="229"/>
      <c r="H1960" s="229"/>
      <c r="I1960" s="229"/>
      <c r="J1960" s="229"/>
      <c r="K1960" s="229"/>
      <c r="L1960" s="229"/>
      <c r="M1960" s="229"/>
      <c r="N1960" s="232"/>
    </row>
    <row r="1961" hidden="1" spans="1:14">
      <c r="A1961" s="235"/>
      <c r="B1961" s="230" t="s">
        <v>1039</v>
      </c>
      <c r="C1961" s="229">
        <v>3.225816</v>
      </c>
      <c r="D1961" s="229">
        <v>3.225816</v>
      </c>
      <c r="E1961" s="229">
        <v>3.225816</v>
      </c>
      <c r="F1961" s="229"/>
      <c r="G1961" s="229"/>
      <c r="H1961" s="229"/>
      <c r="I1961" s="229"/>
      <c r="J1961" s="229"/>
      <c r="K1961" s="229"/>
      <c r="L1961" s="229"/>
      <c r="M1961" s="229"/>
      <c r="N1961" s="232"/>
    </row>
    <row r="1962" hidden="1" spans="1:14">
      <c r="A1962" s="235"/>
      <c r="B1962" s="230" t="s">
        <v>1033</v>
      </c>
      <c r="C1962" s="229">
        <v>46.578893</v>
      </c>
      <c r="D1962" s="229">
        <v>46.578893</v>
      </c>
      <c r="E1962" s="229">
        <v>46.578893</v>
      </c>
      <c r="F1962" s="229"/>
      <c r="G1962" s="229"/>
      <c r="H1962" s="229"/>
      <c r="I1962" s="229"/>
      <c r="J1962" s="229"/>
      <c r="K1962" s="229"/>
      <c r="L1962" s="229"/>
      <c r="M1962" s="229"/>
      <c r="N1962" s="232"/>
    </row>
    <row r="1963" hidden="1" spans="1:14">
      <c r="A1963" s="235"/>
      <c r="B1963" s="230" t="s">
        <v>1032</v>
      </c>
      <c r="C1963" s="229">
        <v>161.2908</v>
      </c>
      <c r="D1963" s="229">
        <v>161.2908</v>
      </c>
      <c r="E1963" s="229">
        <v>161.2908</v>
      </c>
      <c r="F1963" s="229"/>
      <c r="G1963" s="229"/>
      <c r="H1963" s="229"/>
      <c r="I1963" s="229"/>
      <c r="J1963" s="229"/>
      <c r="K1963" s="229"/>
      <c r="L1963" s="229"/>
      <c r="M1963" s="229"/>
      <c r="N1963" s="232"/>
    </row>
    <row r="1964" hidden="1" spans="1:14">
      <c r="A1964" s="235"/>
      <c r="B1964" s="230" t="s">
        <v>1037</v>
      </c>
      <c r="C1964" s="229">
        <v>0.294</v>
      </c>
      <c r="D1964" s="229">
        <v>0.294</v>
      </c>
      <c r="E1964" s="229">
        <v>0.294</v>
      </c>
      <c r="F1964" s="229"/>
      <c r="G1964" s="229"/>
      <c r="H1964" s="229"/>
      <c r="I1964" s="229"/>
      <c r="J1964" s="229"/>
      <c r="K1964" s="229"/>
      <c r="L1964" s="229"/>
      <c r="M1964" s="229"/>
      <c r="N1964" s="232"/>
    </row>
    <row r="1965" hidden="1" spans="1:14">
      <c r="A1965" s="209">
        <v>806004</v>
      </c>
      <c r="B1965" s="231" t="s">
        <v>819</v>
      </c>
      <c r="C1965" s="229">
        <v>150.714622</v>
      </c>
      <c r="D1965" s="229">
        <v>150.714622</v>
      </c>
      <c r="E1965" s="229">
        <v>150.714622</v>
      </c>
      <c r="F1965" s="229"/>
      <c r="G1965" s="229"/>
      <c r="H1965" s="229"/>
      <c r="I1965" s="229"/>
      <c r="J1965" s="229"/>
      <c r="K1965" s="229"/>
      <c r="L1965" s="229"/>
      <c r="M1965" s="229"/>
      <c r="N1965" s="233"/>
    </row>
    <row r="1966" hidden="1" spans="1:14">
      <c r="A1966" s="235"/>
      <c r="B1966" s="230" t="s">
        <v>1036</v>
      </c>
      <c r="C1966" s="229">
        <v>12.144888</v>
      </c>
      <c r="D1966" s="229">
        <v>12.144888</v>
      </c>
      <c r="E1966" s="229">
        <v>12.144888</v>
      </c>
      <c r="F1966" s="229"/>
      <c r="G1966" s="229"/>
      <c r="H1966" s="229"/>
      <c r="I1966" s="229"/>
      <c r="J1966" s="229"/>
      <c r="K1966" s="229"/>
      <c r="L1966" s="229"/>
      <c r="M1966" s="229"/>
      <c r="N1966" s="232"/>
    </row>
    <row r="1967" hidden="1" spans="1:14">
      <c r="A1967" s="235"/>
      <c r="B1967" s="230" t="s">
        <v>1039</v>
      </c>
      <c r="C1967" s="229">
        <v>2.024148</v>
      </c>
      <c r="D1967" s="229">
        <v>2.024148</v>
      </c>
      <c r="E1967" s="229">
        <v>2.024148</v>
      </c>
      <c r="F1967" s="229"/>
      <c r="G1967" s="229"/>
      <c r="H1967" s="229"/>
      <c r="I1967" s="229"/>
      <c r="J1967" s="229"/>
      <c r="K1967" s="229"/>
      <c r="L1967" s="229"/>
      <c r="M1967" s="229"/>
      <c r="N1967" s="232"/>
    </row>
    <row r="1968" hidden="1" spans="1:14">
      <c r="A1968" s="235"/>
      <c r="B1968" s="230" t="s">
        <v>1032</v>
      </c>
      <c r="C1968" s="229">
        <v>101.2074</v>
      </c>
      <c r="D1968" s="229">
        <v>101.2074</v>
      </c>
      <c r="E1968" s="229">
        <v>101.2074</v>
      </c>
      <c r="F1968" s="229"/>
      <c r="G1968" s="229"/>
      <c r="H1968" s="229"/>
      <c r="I1968" s="229"/>
      <c r="J1968" s="229"/>
      <c r="K1968" s="229"/>
      <c r="L1968" s="229"/>
      <c r="M1968" s="229"/>
      <c r="N1968" s="232"/>
    </row>
    <row r="1969" hidden="1" spans="1:14">
      <c r="A1969" s="235"/>
      <c r="B1969" s="230" t="s">
        <v>1031</v>
      </c>
      <c r="C1969" s="229">
        <v>0.66</v>
      </c>
      <c r="D1969" s="229">
        <v>0.66</v>
      </c>
      <c r="E1969" s="229">
        <v>0.66</v>
      </c>
      <c r="F1969" s="229"/>
      <c r="G1969" s="229"/>
      <c r="H1969" s="229"/>
      <c r="I1969" s="229"/>
      <c r="J1969" s="229"/>
      <c r="K1969" s="229"/>
      <c r="L1969" s="229"/>
      <c r="M1969" s="229"/>
      <c r="N1969" s="232"/>
    </row>
    <row r="1970" hidden="1" spans="1:14">
      <c r="A1970" s="235"/>
      <c r="B1970" s="230" t="s">
        <v>1033</v>
      </c>
      <c r="C1970" s="229">
        <v>27.388186</v>
      </c>
      <c r="D1970" s="229">
        <v>27.388186</v>
      </c>
      <c r="E1970" s="229">
        <v>27.388186</v>
      </c>
      <c r="F1970" s="229"/>
      <c r="G1970" s="229"/>
      <c r="H1970" s="229"/>
      <c r="I1970" s="229"/>
      <c r="J1970" s="229"/>
      <c r="K1970" s="229"/>
      <c r="L1970" s="229"/>
      <c r="M1970" s="229"/>
      <c r="N1970" s="232"/>
    </row>
    <row r="1971" hidden="1" spans="1:14">
      <c r="A1971" s="235"/>
      <c r="B1971" s="230" t="s">
        <v>1029</v>
      </c>
      <c r="C1971" s="229">
        <v>7.29</v>
      </c>
      <c r="D1971" s="229">
        <v>7.29</v>
      </c>
      <c r="E1971" s="229">
        <v>7.29</v>
      </c>
      <c r="F1971" s="229"/>
      <c r="G1971" s="229"/>
      <c r="H1971" s="229"/>
      <c r="I1971" s="229"/>
      <c r="J1971" s="229"/>
      <c r="K1971" s="229"/>
      <c r="L1971" s="229"/>
      <c r="M1971" s="229"/>
      <c r="N1971" s="232"/>
    </row>
    <row r="1972" hidden="1" spans="1:14">
      <c r="A1972" s="209">
        <v>806005</v>
      </c>
      <c r="B1972" s="230" t="s">
        <v>821</v>
      </c>
      <c r="C1972" s="229">
        <v>65.988893</v>
      </c>
      <c r="D1972" s="229">
        <v>65.988893</v>
      </c>
      <c r="E1972" s="229">
        <v>65.988893</v>
      </c>
      <c r="F1972" s="229"/>
      <c r="G1972" s="229"/>
      <c r="H1972" s="229"/>
      <c r="I1972" s="229"/>
      <c r="J1972" s="229"/>
      <c r="K1972" s="229"/>
      <c r="L1972" s="229"/>
      <c r="M1972" s="229"/>
      <c r="N1972" s="233"/>
    </row>
    <row r="1973" hidden="1" spans="1:14">
      <c r="A1973" s="235"/>
      <c r="B1973" s="230" t="s">
        <v>1036</v>
      </c>
      <c r="C1973" s="229">
        <v>5.283744</v>
      </c>
      <c r="D1973" s="229">
        <v>5.283744</v>
      </c>
      <c r="E1973" s="229">
        <v>5.283744</v>
      </c>
      <c r="F1973" s="229"/>
      <c r="G1973" s="229"/>
      <c r="H1973" s="229"/>
      <c r="I1973" s="229"/>
      <c r="J1973" s="229"/>
      <c r="K1973" s="229"/>
      <c r="L1973" s="229"/>
      <c r="M1973" s="229"/>
      <c r="N1973" s="232"/>
    </row>
    <row r="1974" hidden="1" spans="1:14">
      <c r="A1974" s="235"/>
      <c r="B1974" s="230" t="s">
        <v>1031</v>
      </c>
      <c r="C1974" s="229">
        <v>0.66</v>
      </c>
      <c r="D1974" s="229">
        <v>0.66</v>
      </c>
      <c r="E1974" s="229">
        <v>0.66</v>
      </c>
      <c r="F1974" s="229"/>
      <c r="G1974" s="229"/>
      <c r="H1974" s="229"/>
      <c r="I1974" s="229"/>
      <c r="J1974" s="229"/>
      <c r="K1974" s="229"/>
      <c r="L1974" s="229"/>
      <c r="M1974" s="229"/>
      <c r="N1974" s="232"/>
    </row>
    <row r="1975" hidden="1" spans="1:14">
      <c r="A1975" s="235"/>
      <c r="B1975" s="230" t="s">
        <v>1033</v>
      </c>
      <c r="C1975" s="229">
        <v>11.893325</v>
      </c>
      <c r="D1975" s="229">
        <v>11.893325</v>
      </c>
      <c r="E1975" s="229">
        <v>11.893325</v>
      </c>
      <c r="F1975" s="229"/>
      <c r="G1975" s="229"/>
      <c r="H1975" s="229"/>
      <c r="I1975" s="229"/>
      <c r="J1975" s="229"/>
      <c r="K1975" s="229"/>
      <c r="L1975" s="229"/>
      <c r="M1975" s="229"/>
      <c r="N1975" s="232"/>
    </row>
    <row r="1976" hidden="1" spans="1:14">
      <c r="A1976" s="235"/>
      <c r="B1976" s="230" t="s">
        <v>1029</v>
      </c>
      <c r="C1976" s="229">
        <v>3.24</v>
      </c>
      <c r="D1976" s="229">
        <v>3.24</v>
      </c>
      <c r="E1976" s="229">
        <v>3.24</v>
      </c>
      <c r="F1976" s="229"/>
      <c r="G1976" s="229"/>
      <c r="H1976" s="229"/>
      <c r="I1976" s="229"/>
      <c r="J1976" s="229"/>
      <c r="K1976" s="229"/>
      <c r="L1976" s="229"/>
      <c r="M1976" s="229"/>
      <c r="N1976" s="232"/>
    </row>
    <row r="1977" hidden="1" spans="1:14">
      <c r="A1977" s="235"/>
      <c r="B1977" s="230" t="s">
        <v>1039</v>
      </c>
      <c r="C1977" s="229">
        <v>0.880624</v>
      </c>
      <c r="D1977" s="229">
        <v>0.880624</v>
      </c>
      <c r="E1977" s="229">
        <v>0.880624</v>
      </c>
      <c r="F1977" s="229"/>
      <c r="G1977" s="229"/>
      <c r="H1977" s="229"/>
      <c r="I1977" s="229"/>
      <c r="J1977" s="229"/>
      <c r="K1977" s="229"/>
      <c r="L1977" s="229"/>
      <c r="M1977" s="229"/>
      <c r="N1977" s="232"/>
    </row>
    <row r="1978" hidden="1" spans="1:14">
      <c r="A1978" s="235"/>
      <c r="B1978" s="230" t="s">
        <v>1032</v>
      </c>
      <c r="C1978" s="229">
        <v>44.0312</v>
      </c>
      <c r="D1978" s="229">
        <v>44.0312</v>
      </c>
      <c r="E1978" s="229">
        <v>44.0312</v>
      </c>
      <c r="F1978" s="229"/>
      <c r="G1978" s="229"/>
      <c r="H1978" s="229"/>
      <c r="I1978" s="229"/>
      <c r="J1978" s="229"/>
      <c r="K1978" s="229"/>
      <c r="L1978" s="229"/>
      <c r="M1978" s="229"/>
      <c r="N1978" s="232"/>
    </row>
    <row r="1979" hidden="1" spans="1:14">
      <c r="A1979" s="209">
        <v>807001</v>
      </c>
      <c r="B1979" s="231" t="s">
        <v>824</v>
      </c>
      <c r="C1979" s="229">
        <v>1513.384937</v>
      </c>
      <c r="D1979" s="229">
        <v>1513.384937</v>
      </c>
      <c r="E1979" s="229">
        <v>1513.384937</v>
      </c>
      <c r="F1979" s="229"/>
      <c r="G1979" s="229"/>
      <c r="H1979" s="229"/>
      <c r="I1979" s="229"/>
      <c r="J1979" s="229"/>
      <c r="K1979" s="229"/>
      <c r="L1979" s="229"/>
      <c r="M1979" s="229"/>
      <c r="N1979" s="233"/>
    </row>
    <row r="1980" hidden="1" spans="1:14">
      <c r="A1980" s="235"/>
      <c r="B1980" s="230" t="s">
        <v>1031</v>
      </c>
      <c r="C1980" s="229">
        <v>33.816</v>
      </c>
      <c r="D1980" s="229">
        <v>33.816</v>
      </c>
      <c r="E1980" s="229">
        <v>33.816</v>
      </c>
      <c r="F1980" s="229"/>
      <c r="G1980" s="229"/>
      <c r="H1980" s="229"/>
      <c r="I1980" s="229"/>
      <c r="J1980" s="229"/>
      <c r="K1980" s="229"/>
      <c r="L1980" s="229"/>
      <c r="M1980" s="229"/>
      <c r="N1980" s="232"/>
    </row>
    <row r="1981" hidden="1" spans="1:14">
      <c r="A1981" s="235"/>
      <c r="B1981" s="230" t="s">
        <v>1038</v>
      </c>
      <c r="C1981" s="229">
        <v>1.89</v>
      </c>
      <c r="D1981" s="229">
        <v>1.89</v>
      </c>
      <c r="E1981" s="229">
        <v>1.89</v>
      </c>
      <c r="F1981" s="229"/>
      <c r="G1981" s="229"/>
      <c r="H1981" s="229"/>
      <c r="I1981" s="229"/>
      <c r="J1981" s="229"/>
      <c r="K1981" s="229"/>
      <c r="L1981" s="229"/>
      <c r="M1981" s="229"/>
      <c r="N1981" s="232"/>
    </row>
    <row r="1982" hidden="1" spans="1:14">
      <c r="A1982" s="235"/>
      <c r="B1982" s="230" t="s">
        <v>1035</v>
      </c>
      <c r="C1982" s="229">
        <v>6.7</v>
      </c>
      <c r="D1982" s="229">
        <v>6.7</v>
      </c>
      <c r="E1982" s="229">
        <v>6.7</v>
      </c>
      <c r="F1982" s="229"/>
      <c r="G1982" s="229"/>
      <c r="H1982" s="229"/>
      <c r="I1982" s="229"/>
      <c r="J1982" s="229"/>
      <c r="K1982" s="229"/>
      <c r="L1982" s="229"/>
      <c r="M1982" s="229"/>
      <c r="N1982" s="232"/>
    </row>
    <row r="1983" hidden="1" spans="1:14">
      <c r="A1983" s="235"/>
      <c r="B1983" s="230" t="s">
        <v>1046</v>
      </c>
      <c r="C1983" s="229">
        <v>1.991004</v>
      </c>
      <c r="D1983" s="229">
        <v>1.991004</v>
      </c>
      <c r="E1983" s="229">
        <v>1.991004</v>
      </c>
      <c r="F1983" s="229"/>
      <c r="G1983" s="229"/>
      <c r="H1983" s="229"/>
      <c r="I1983" s="229"/>
      <c r="J1983" s="229"/>
      <c r="K1983" s="229"/>
      <c r="L1983" s="229"/>
      <c r="M1983" s="229"/>
      <c r="N1983" s="232"/>
    </row>
    <row r="1984" hidden="1" spans="1:14">
      <c r="A1984" s="235"/>
      <c r="B1984" s="230" t="s">
        <v>1036</v>
      </c>
      <c r="C1984" s="229">
        <v>95.530814</v>
      </c>
      <c r="D1984" s="229">
        <v>95.530814</v>
      </c>
      <c r="E1984" s="229">
        <v>95.530814</v>
      </c>
      <c r="F1984" s="229"/>
      <c r="G1984" s="229"/>
      <c r="H1984" s="229"/>
      <c r="I1984" s="229"/>
      <c r="J1984" s="229"/>
      <c r="K1984" s="229"/>
      <c r="L1984" s="229"/>
      <c r="M1984" s="229"/>
      <c r="N1984" s="232"/>
    </row>
    <row r="1985" hidden="1" spans="1:14">
      <c r="A1985" s="235"/>
      <c r="B1985" s="230" t="s">
        <v>1029</v>
      </c>
      <c r="C1985" s="229">
        <v>99.144</v>
      </c>
      <c r="D1985" s="229">
        <v>99.144</v>
      </c>
      <c r="E1985" s="229">
        <v>99.144</v>
      </c>
      <c r="F1985" s="229"/>
      <c r="G1985" s="229"/>
      <c r="H1985" s="229"/>
      <c r="I1985" s="229"/>
      <c r="J1985" s="229"/>
      <c r="K1985" s="229"/>
      <c r="L1985" s="229"/>
      <c r="M1985" s="229"/>
      <c r="N1985" s="232"/>
    </row>
    <row r="1986" hidden="1" spans="1:14">
      <c r="A1986" s="235"/>
      <c r="B1986" s="230" t="s">
        <v>1033</v>
      </c>
      <c r="C1986" s="229">
        <v>248.247867</v>
      </c>
      <c r="D1986" s="229">
        <v>248.247867</v>
      </c>
      <c r="E1986" s="229">
        <v>248.247867</v>
      </c>
      <c r="F1986" s="229"/>
      <c r="G1986" s="229"/>
      <c r="H1986" s="229"/>
      <c r="I1986" s="229"/>
      <c r="J1986" s="229"/>
      <c r="K1986" s="229"/>
      <c r="L1986" s="229"/>
      <c r="M1986" s="229"/>
      <c r="N1986" s="232"/>
    </row>
    <row r="1987" hidden="1" spans="1:14">
      <c r="A1987" s="235"/>
      <c r="B1987" s="230" t="s">
        <v>1032</v>
      </c>
      <c r="C1987" s="229">
        <v>796.09012</v>
      </c>
      <c r="D1987" s="229">
        <v>796.09012</v>
      </c>
      <c r="E1987" s="229">
        <v>796.09012</v>
      </c>
      <c r="F1987" s="229"/>
      <c r="G1987" s="229"/>
      <c r="H1987" s="229"/>
      <c r="I1987" s="229"/>
      <c r="J1987" s="229"/>
      <c r="K1987" s="229"/>
      <c r="L1987" s="229"/>
      <c r="M1987" s="229"/>
      <c r="N1987" s="232"/>
    </row>
    <row r="1988" hidden="1" spans="1:14">
      <c r="A1988" s="235"/>
      <c r="B1988" s="230" t="s">
        <v>1037</v>
      </c>
      <c r="C1988" s="229">
        <v>4.92813</v>
      </c>
      <c r="D1988" s="229">
        <v>4.92813</v>
      </c>
      <c r="E1988" s="229">
        <v>4.92813</v>
      </c>
      <c r="F1988" s="229"/>
      <c r="G1988" s="229"/>
      <c r="H1988" s="229"/>
      <c r="I1988" s="229"/>
      <c r="J1988" s="229"/>
      <c r="K1988" s="229"/>
      <c r="L1988" s="229"/>
      <c r="M1988" s="229"/>
      <c r="N1988" s="232"/>
    </row>
    <row r="1989" hidden="1" spans="1:14">
      <c r="A1989" s="235"/>
      <c r="B1989" s="230" t="s">
        <v>1039</v>
      </c>
      <c r="C1989" s="229">
        <v>15.921802</v>
      </c>
      <c r="D1989" s="229">
        <v>15.921802</v>
      </c>
      <c r="E1989" s="229">
        <v>15.921802</v>
      </c>
      <c r="F1989" s="229"/>
      <c r="G1989" s="229"/>
      <c r="H1989" s="229"/>
      <c r="I1989" s="229"/>
      <c r="J1989" s="229"/>
      <c r="K1989" s="229"/>
      <c r="L1989" s="229"/>
      <c r="M1989" s="229"/>
      <c r="N1989" s="232"/>
    </row>
    <row r="1990" hidden="1" spans="1:14">
      <c r="A1990" s="235"/>
      <c r="B1990" s="230" t="s">
        <v>1030</v>
      </c>
      <c r="C1990" s="229">
        <v>12</v>
      </c>
      <c r="D1990" s="229">
        <v>12</v>
      </c>
      <c r="E1990" s="229">
        <v>12</v>
      </c>
      <c r="F1990" s="229"/>
      <c r="G1990" s="229"/>
      <c r="H1990" s="229"/>
      <c r="I1990" s="229"/>
      <c r="J1990" s="229"/>
      <c r="K1990" s="229"/>
      <c r="L1990" s="229"/>
      <c r="M1990" s="229"/>
      <c r="N1990" s="232"/>
    </row>
    <row r="1991" hidden="1" spans="1:14">
      <c r="A1991" s="235"/>
      <c r="B1991" s="230" t="s">
        <v>1028</v>
      </c>
      <c r="C1991" s="229">
        <v>197.1252</v>
      </c>
      <c r="D1991" s="229">
        <v>197.1252</v>
      </c>
      <c r="E1991" s="229">
        <v>197.1252</v>
      </c>
      <c r="F1991" s="229"/>
      <c r="G1991" s="229"/>
      <c r="H1991" s="229"/>
      <c r="I1991" s="229"/>
      <c r="J1991" s="229"/>
      <c r="K1991" s="229"/>
      <c r="L1991" s="229"/>
      <c r="M1991" s="229"/>
      <c r="N1991" s="232"/>
    </row>
    <row r="1992" hidden="1" spans="1:14">
      <c r="A1992" s="209">
        <v>807002</v>
      </c>
      <c r="B1992" s="231" t="s">
        <v>826</v>
      </c>
      <c r="C1992" s="229">
        <v>320.083742</v>
      </c>
      <c r="D1992" s="229">
        <v>320.083742</v>
      </c>
      <c r="E1992" s="229">
        <v>320.083742</v>
      </c>
      <c r="F1992" s="229"/>
      <c r="G1992" s="229"/>
      <c r="H1992" s="229"/>
      <c r="I1992" s="229"/>
      <c r="J1992" s="229"/>
      <c r="K1992" s="229"/>
      <c r="L1992" s="229"/>
      <c r="M1992" s="229"/>
      <c r="N1992" s="233"/>
    </row>
    <row r="1993" hidden="1" spans="1:14">
      <c r="A1993" s="235"/>
      <c r="B1993" s="230" t="s">
        <v>1028</v>
      </c>
      <c r="C1993" s="229">
        <v>32.34</v>
      </c>
      <c r="D1993" s="229">
        <v>32.34</v>
      </c>
      <c r="E1993" s="229">
        <v>32.34</v>
      </c>
      <c r="F1993" s="229"/>
      <c r="G1993" s="229"/>
      <c r="H1993" s="229"/>
      <c r="I1993" s="229"/>
      <c r="J1993" s="229"/>
      <c r="K1993" s="229"/>
      <c r="L1993" s="229"/>
      <c r="M1993" s="229"/>
      <c r="N1993" s="232"/>
    </row>
    <row r="1994" hidden="1" spans="1:14">
      <c r="A1994" s="235"/>
      <c r="B1994" s="230" t="s">
        <v>1031</v>
      </c>
      <c r="C1994" s="229">
        <v>1.32</v>
      </c>
      <c r="D1994" s="229">
        <v>1.32</v>
      </c>
      <c r="E1994" s="229">
        <v>1.32</v>
      </c>
      <c r="F1994" s="229"/>
      <c r="G1994" s="229"/>
      <c r="H1994" s="229"/>
      <c r="I1994" s="229"/>
      <c r="J1994" s="229"/>
      <c r="K1994" s="229"/>
      <c r="L1994" s="229"/>
      <c r="M1994" s="229"/>
      <c r="N1994" s="232"/>
    </row>
    <row r="1995" hidden="1" spans="1:14">
      <c r="A1995" s="235"/>
      <c r="B1995" s="230" t="s">
        <v>1033</v>
      </c>
      <c r="C1995" s="229">
        <v>56.681502</v>
      </c>
      <c r="D1995" s="229">
        <v>56.681502</v>
      </c>
      <c r="E1995" s="229">
        <v>56.681502</v>
      </c>
      <c r="F1995" s="229"/>
      <c r="G1995" s="229"/>
      <c r="H1995" s="229"/>
      <c r="I1995" s="229"/>
      <c r="J1995" s="229"/>
      <c r="K1995" s="229"/>
      <c r="L1995" s="229"/>
      <c r="M1995" s="229"/>
      <c r="N1995" s="232"/>
    </row>
    <row r="1996" hidden="1" spans="1:14">
      <c r="A1996" s="235"/>
      <c r="B1996" s="230" t="s">
        <v>1039</v>
      </c>
      <c r="C1996" s="229">
        <v>3.72582</v>
      </c>
      <c r="D1996" s="229">
        <v>3.72582</v>
      </c>
      <c r="E1996" s="229">
        <v>3.72582</v>
      </c>
      <c r="F1996" s="229"/>
      <c r="G1996" s="229"/>
      <c r="H1996" s="229"/>
      <c r="I1996" s="229"/>
      <c r="J1996" s="229"/>
      <c r="K1996" s="229"/>
      <c r="L1996" s="229"/>
      <c r="M1996" s="229"/>
      <c r="N1996" s="232"/>
    </row>
    <row r="1997" hidden="1" spans="1:14">
      <c r="A1997" s="235"/>
      <c r="B1997" s="230" t="s">
        <v>1035</v>
      </c>
      <c r="C1997" s="229">
        <v>1.1</v>
      </c>
      <c r="D1997" s="229">
        <v>1.1</v>
      </c>
      <c r="E1997" s="229">
        <v>1.1</v>
      </c>
      <c r="F1997" s="229"/>
      <c r="G1997" s="229"/>
      <c r="H1997" s="229"/>
      <c r="I1997" s="229"/>
      <c r="J1997" s="229"/>
      <c r="K1997" s="229"/>
      <c r="L1997" s="229"/>
      <c r="M1997" s="229"/>
      <c r="N1997" s="232"/>
    </row>
    <row r="1998" hidden="1" spans="1:14">
      <c r="A1998" s="235"/>
      <c r="B1998" s="230" t="s">
        <v>1037</v>
      </c>
      <c r="C1998" s="229">
        <v>0.8085</v>
      </c>
      <c r="D1998" s="229">
        <v>0.8085</v>
      </c>
      <c r="E1998" s="229">
        <v>0.8085</v>
      </c>
      <c r="F1998" s="229"/>
      <c r="G1998" s="229"/>
      <c r="H1998" s="229"/>
      <c r="I1998" s="229"/>
      <c r="J1998" s="229"/>
      <c r="K1998" s="229"/>
      <c r="L1998" s="229"/>
      <c r="M1998" s="229"/>
      <c r="N1998" s="232"/>
    </row>
    <row r="1999" hidden="1" spans="1:14">
      <c r="A1999" s="235"/>
      <c r="B1999" s="230" t="s">
        <v>1032</v>
      </c>
      <c r="C1999" s="229">
        <v>186.291</v>
      </c>
      <c r="D1999" s="229">
        <v>186.291</v>
      </c>
      <c r="E1999" s="229">
        <v>186.291</v>
      </c>
      <c r="F1999" s="229"/>
      <c r="G1999" s="229"/>
      <c r="H1999" s="229"/>
      <c r="I1999" s="229"/>
      <c r="J1999" s="229"/>
      <c r="K1999" s="229"/>
      <c r="L1999" s="229"/>
      <c r="M1999" s="229"/>
      <c r="N1999" s="232"/>
    </row>
    <row r="2000" hidden="1" spans="1:14">
      <c r="A2000" s="235"/>
      <c r="B2000" s="230" t="s">
        <v>1036</v>
      </c>
      <c r="C2000" s="229">
        <v>22.35492</v>
      </c>
      <c r="D2000" s="229">
        <v>22.35492</v>
      </c>
      <c r="E2000" s="229">
        <v>22.35492</v>
      </c>
      <c r="F2000" s="229"/>
      <c r="G2000" s="229"/>
      <c r="H2000" s="229"/>
      <c r="I2000" s="229"/>
      <c r="J2000" s="229"/>
      <c r="K2000" s="229"/>
      <c r="L2000" s="229"/>
      <c r="M2000" s="229"/>
      <c r="N2000" s="232"/>
    </row>
    <row r="2001" hidden="1" spans="1:14">
      <c r="A2001" s="235"/>
      <c r="B2001" s="230" t="s">
        <v>1034</v>
      </c>
      <c r="C2001" s="229">
        <v>3.042</v>
      </c>
      <c r="D2001" s="229">
        <v>3.042</v>
      </c>
      <c r="E2001" s="229">
        <v>3.042</v>
      </c>
      <c r="F2001" s="229"/>
      <c r="G2001" s="229"/>
      <c r="H2001" s="229"/>
      <c r="I2001" s="229"/>
      <c r="J2001" s="229"/>
      <c r="K2001" s="229"/>
      <c r="L2001" s="229"/>
      <c r="M2001" s="229"/>
      <c r="N2001" s="232"/>
    </row>
    <row r="2002" hidden="1" spans="1:14">
      <c r="A2002" s="235"/>
      <c r="B2002" s="230" t="s">
        <v>1029</v>
      </c>
      <c r="C2002" s="229">
        <v>12.15</v>
      </c>
      <c r="D2002" s="229">
        <v>12.15</v>
      </c>
      <c r="E2002" s="229">
        <v>12.15</v>
      </c>
      <c r="F2002" s="229"/>
      <c r="G2002" s="229"/>
      <c r="H2002" s="229"/>
      <c r="I2002" s="229"/>
      <c r="J2002" s="229"/>
      <c r="K2002" s="229"/>
      <c r="L2002" s="229"/>
      <c r="M2002" s="229"/>
      <c r="N2002" s="232"/>
    </row>
    <row r="2003" hidden="1" spans="1:14">
      <c r="A2003" s="235"/>
      <c r="B2003" s="230" t="s">
        <v>1038</v>
      </c>
      <c r="C2003" s="229">
        <v>0.27</v>
      </c>
      <c r="D2003" s="229">
        <v>0.27</v>
      </c>
      <c r="E2003" s="229">
        <v>0.27</v>
      </c>
      <c r="F2003" s="229"/>
      <c r="G2003" s="229"/>
      <c r="H2003" s="229"/>
      <c r="I2003" s="229"/>
      <c r="J2003" s="229"/>
      <c r="K2003" s="229"/>
      <c r="L2003" s="229"/>
      <c r="M2003" s="229"/>
      <c r="N2003" s="232"/>
    </row>
    <row r="2004" hidden="1" spans="1:14">
      <c r="A2004" s="209">
        <v>807003</v>
      </c>
      <c r="B2004" s="231" t="s">
        <v>1155</v>
      </c>
      <c r="C2004" s="229">
        <v>18.446455</v>
      </c>
      <c r="D2004" s="229">
        <v>18.446455</v>
      </c>
      <c r="E2004" s="229">
        <v>18.446455</v>
      </c>
      <c r="F2004" s="229"/>
      <c r="G2004" s="229"/>
      <c r="H2004" s="229"/>
      <c r="I2004" s="229"/>
      <c r="J2004" s="229"/>
      <c r="K2004" s="229"/>
      <c r="L2004" s="229"/>
      <c r="M2004" s="229"/>
      <c r="N2004" s="233"/>
    </row>
    <row r="2005" hidden="1" spans="1:14">
      <c r="A2005" s="235"/>
      <c r="B2005" s="230" t="s">
        <v>1032</v>
      </c>
      <c r="C2005" s="229">
        <v>12.0698</v>
      </c>
      <c r="D2005" s="229">
        <v>12.0698</v>
      </c>
      <c r="E2005" s="229">
        <v>12.0698</v>
      </c>
      <c r="F2005" s="229"/>
      <c r="G2005" s="229"/>
      <c r="H2005" s="229"/>
      <c r="I2005" s="229"/>
      <c r="J2005" s="229"/>
      <c r="K2005" s="229"/>
      <c r="L2005" s="229"/>
      <c r="M2005" s="229"/>
      <c r="N2005" s="232"/>
    </row>
    <row r="2006" hidden="1" spans="1:14">
      <c r="A2006" s="235"/>
      <c r="B2006" s="230" t="s">
        <v>1031</v>
      </c>
      <c r="C2006" s="229">
        <v>0.66</v>
      </c>
      <c r="D2006" s="229">
        <v>0.66</v>
      </c>
      <c r="E2006" s="229">
        <v>0.66</v>
      </c>
      <c r="F2006" s="229"/>
      <c r="G2006" s="229"/>
      <c r="H2006" s="229"/>
      <c r="I2006" s="229"/>
      <c r="J2006" s="229"/>
      <c r="K2006" s="229"/>
      <c r="L2006" s="229"/>
      <c r="M2006" s="229"/>
      <c r="N2006" s="232"/>
    </row>
    <row r="2007" hidden="1" spans="1:14">
      <c r="A2007" s="235"/>
      <c r="B2007" s="230" t="s">
        <v>1039</v>
      </c>
      <c r="C2007" s="229">
        <v>0.241396</v>
      </c>
      <c r="D2007" s="229">
        <v>0.241396</v>
      </c>
      <c r="E2007" s="229">
        <v>0.241396</v>
      </c>
      <c r="F2007" s="229"/>
      <c r="G2007" s="229"/>
      <c r="H2007" s="229"/>
      <c r="I2007" s="229"/>
      <c r="J2007" s="229"/>
      <c r="K2007" s="229"/>
      <c r="L2007" s="229"/>
      <c r="M2007" s="229"/>
      <c r="N2007" s="232"/>
    </row>
    <row r="2008" hidden="1" spans="1:14">
      <c r="A2008" s="235"/>
      <c r="B2008" s="230" t="s">
        <v>1036</v>
      </c>
      <c r="C2008" s="229">
        <v>1.448376</v>
      </c>
      <c r="D2008" s="229">
        <v>1.448376</v>
      </c>
      <c r="E2008" s="229">
        <v>1.448376</v>
      </c>
      <c r="F2008" s="229"/>
      <c r="G2008" s="229"/>
      <c r="H2008" s="229"/>
      <c r="I2008" s="229"/>
      <c r="J2008" s="229"/>
      <c r="K2008" s="229"/>
      <c r="L2008" s="229"/>
      <c r="M2008" s="229"/>
      <c r="N2008" s="232"/>
    </row>
    <row r="2009" hidden="1" spans="1:14">
      <c r="A2009" s="235"/>
      <c r="B2009" s="230" t="s">
        <v>1156</v>
      </c>
      <c r="C2009" s="229">
        <v>0.81</v>
      </c>
      <c r="D2009" s="229">
        <v>0.81</v>
      </c>
      <c r="E2009" s="229">
        <v>0.81</v>
      </c>
      <c r="F2009" s="229"/>
      <c r="G2009" s="229"/>
      <c r="H2009" s="229"/>
      <c r="I2009" s="229"/>
      <c r="J2009" s="229"/>
      <c r="K2009" s="229"/>
      <c r="L2009" s="229"/>
      <c r="M2009" s="229"/>
      <c r="N2009" s="232"/>
    </row>
    <row r="2010" hidden="1" spans="1:14">
      <c r="A2010" s="235"/>
      <c r="B2010" s="230" t="s">
        <v>1033</v>
      </c>
      <c r="C2010" s="229">
        <v>3.216883</v>
      </c>
      <c r="D2010" s="229">
        <v>3.216883</v>
      </c>
      <c r="E2010" s="229">
        <v>3.216883</v>
      </c>
      <c r="F2010" s="229"/>
      <c r="G2010" s="229"/>
      <c r="H2010" s="229"/>
      <c r="I2010" s="229"/>
      <c r="J2010" s="229"/>
      <c r="K2010" s="229"/>
      <c r="L2010" s="229"/>
      <c r="M2010" s="229"/>
      <c r="N2010" s="232"/>
    </row>
    <row r="2011" hidden="1" spans="1:14">
      <c r="A2011" s="209">
        <v>807004</v>
      </c>
      <c r="B2011" s="231" t="s">
        <v>830</v>
      </c>
      <c r="C2011" s="229">
        <v>16.05499</v>
      </c>
      <c r="D2011" s="229">
        <v>16.05499</v>
      </c>
      <c r="E2011" s="229">
        <v>16.05499</v>
      </c>
      <c r="F2011" s="229"/>
      <c r="G2011" s="229"/>
      <c r="H2011" s="229"/>
      <c r="I2011" s="229"/>
      <c r="J2011" s="229"/>
      <c r="K2011" s="229"/>
      <c r="L2011" s="229"/>
      <c r="M2011" s="229"/>
      <c r="N2011" s="233"/>
    </row>
    <row r="2012" hidden="1" spans="1:14">
      <c r="A2012" s="235"/>
      <c r="B2012" s="230" t="s">
        <v>1032</v>
      </c>
      <c r="C2012" s="229">
        <v>10.8674</v>
      </c>
      <c r="D2012" s="229">
        <v>10.8674</v>
      </c>
      <c r="E2012" s="229">
        <v>10.8674</v>
      </c>
      <c r="F2012" s="229"/>
      <c r="G2012" s="229"/>
      <c r="H2012" s="229"/>
      <c r="I2012" s="229"/>
      <c r="J2012" s="229"/>
      <c r="K2012" s="229"/>
      <c r="L2012" s="229"/>
      <c r="M2012" s="229"/>
      <c r="N2012" s="232"/>
    </row>
    <row r="2013" hidden="1" spans="1:14">
      <c r="A2013" s="235"/>
      <c r="B2013" s="230" t="s">
        <v>1033</v>
      </c>
      <c r="C2013" s="229">
        <v>2.856154</v>
      </c>
      <c r="D2013" s="229">
        <v>2.856154</v>
      </c>
      <c r="E2013" s="229">
        <v>2.856154</v>
      </c>
      <c r="F2013" s="229"/>
      <c r="G2013" s="229"/>
      <c r="H2013" s="229"/>
      <c r="I2013" s="229"/>
      <c r="J2013" s="229"/>
      <c r="K2013" s="229"/>
      <c r="L2013" s="229"/>
      <c r="M2013" s="229"/>
      <c r="N2013" s="232"/>
    </row>
    <row r="2014" hidden="1" spans="1:14">
      <c r="A2014" s="235"/>
      <c r="B2014" s="230" t="s">
        <v>1029</v>
      </c>
      <c r="C2014" s="229">
        <v>0.81</v>
      </c>
      <c r="D2014" s="229">
        <v>0.81</v>
      </c>
      <c r="E2014" s="229">
        <v>0.81</v>
      </c>
      <c r="F2014" s="229"/>
      <c r="G2014" s="229"/>
      <c r="H2014" s="229"/>
      <c r="I2014" s="229"/>
      <c r="J2014" s="229"/>
      <c r="K2014" s="229"/>
      <c r="L2014" s="229"/>
      <c r="M2014" s="229"/>
      <c r="N2014" s="232"/>
    </row>
    <row r="2015" hidden="1" spans="1:14">
      <c r="A2015" s="235"/>
      <c r="B2015" s="230" t="s">
        <v>1036</v>
      </c>
      <c r="C2015" s="229">
        <v>1.304088</v>
      </c>
      <c r="D2015" s="229">
        <v>1.304088</v>
      </c>
      <c r="E2015" s="229">
        <v>1.304088</v>
      </c>
      <c r="F2015" s="229"/>
      <c r="G2015" s="229"/>
      <c r="H2015" s="229"/>
      <c r="I2015" s="229"/>
      <c r="J2015" s="229"/>
      <c r="K2015" s="229"/>
      <c r="L2015" s="229"/>
      <c r="M2015" s="229"/>
      <c r="N2015" s="232"/>
    </row>
    <row r="2016" hidden="1" spans="1:14">
      <c r="A2016" s="235"/>
      <c r="B2016" s="230" t="s">
        <v>1039</v>
      </c>
      <c r="C2016" s="229">
        <v>0.217348</v>
      </c>
      <c r="D2016" s="229">
        <v>0.217348</v>
      </c>
      <c r="E2016" s="229">
        <v>0.217348</v>
      </c>
      <c r="F2016" s="229"/>
      <c r="G2016" s="229"/>
      <c r="H2016" s="229"/>
      <c r="I2016" s="229"/>
      <c r="J2016" s="229"/>
      <c r="K2016" s="229"/>
      <c r="L2016" s="229"/>
      <c r="M2016" s="229"/>
      <c r="N2016" s="232"/>
    </row>
    <row r="2017" hidden="1" spans="1:14">
      <c r="A2017" s="209">
        <v>807005</v>
      </c>
      <c r="B2017" s="231" t="s">
        <v>832</v>
      </c>
      <c r="C2017" s="229">
        <v>99.566022</v>
      </c>
      <c r="D2017" s="229">
        <v>99.566022</v>
      </c>
      <c r="E2017" s="229">
        <v>99.566022</v>
      </c>
      <c r="F2017" s="229"/>
      <c r="G2017" s="229"/>
      <c r="H2017" s="229"/>
      <c r="I2017" s="229"/>
      <c r="J2017" s="229"/>
      <c r="K2017" s="229"/>
      <c r="L2017" s="229"/>
      <c r="M2017" s="229"/>
      <c r="N2017" s="233"/>
    </row>
    <row r="2018" hidden="1" spans="1:14">
      <c r="A2018" s="235"/>
      <c r="B2018" s="230" t="s">
        <v>1039</v>
      </c>
      <c r="C2018" s="229">
        <v>1.199252</v>
      </c>
      <c r="D2018" s="229">
        <v>1.199252</v>
      </c>
      <c r="E2018" s="229">
        <v>1.199252</v>
      </c>
      <c r="F2018" s="229"/>
      <c r="G2018" s="229"/>
      <c r="H2018" s="229"/>
      <c r="I2018" s="229"/>
      <c r="J2018" s="229"/>
      <c r="K2018" s="229"/>
      <c r="L2018" s="229"/>
      <c r="M2018" s="229"/>
      <c r="N2018" s="232"/>
    </row>
    <row r="2019" hidden="1" spans="1:14">
      <c r="A2019" s="235"/>
      <c r="B2019" s="230" t="s">
        <v>1034</v>
      </c>
      <c r="C2019" s="229">
        <v>3.042</v>
      </c>
      <c r="D2019" s="229">
        <v>3.042</v>
      </c>
      <c r="E2019" s="229">
        <v>3.042</v>
      </c>
      <c r="F2019" s="229"/>
      <c r="G2019" s="229"/>
      <c r="H2019" s="229"/>
      <c r="I2019" s="229"/>
      <c r="J2019" s="229"/>
      <c r="K2019" s="229"/>
      <c r="L2019" s="229"/>
      <c r="M2019" s="229"/>
      <c r="N2019" s="232"/>
    </row>
    <row r="2020" hidden="1" spans="1:14">
      <c r="A2020" s="235"/>
      <c r="B2020" s="230" t="s">
        <v>1035</v>
      </c>
      <c r="C2020" s="229">
        <v>0.2</v>
      </c>
      <c r="D2020" s="229">
        <v>0.2</v>
      </c>
      <c r="E2020" s="229">
        <v>0.2</v>
      </c>
      <c r="F2020" s="229"/>
      <c r="G2020" s="229"/>
      <c r="H2020" s="229"/>
      <c r="I2020" s="229"/>
      <c r="J2020" s="229"/>
      <c r="K2020" s="229"/>
      <c r="L2020" s="229"/>
      <c r="M2020" s="229"/>
      <c r="N2020" s="232"/>
    </row>
    <row r="2021" hidden="1" spans="1:14">
      <c r="A2021" s="235"/>
      <c r="B2021" s="230" t="s">
        <v>1033</v>
      </c>
      <c r="C2021" s="229">
        <v>17.229658</v>
      </c>
      <c r="D2021" s="229">
        <v>17.229658</v>
      </c>
      <c r="E2021" s="229">
        <v>17.229658</v>
      </c>
      <c r="F2021" s="229"/>
      <c r="G2021" s="229"/>
      <c r="H2021" s="229"/>
      <c r="I2021" s="229"/>
      <c r="J2021" s="229"/>
      <c r="K2021" s="229"/>
      <c r="L2021" s="229"/>
      <c r="M2021" s="229"/>
      <c r="N2021" s="232"/>
    </row>
    <row r="2022" hidden="1" spans="1:14">
      <c r="A2022" s="235"/>
      <c r="B2022" s="230" t="s">
        <v>1028</v>
      </c>
      <c r="C2022" s="229">
        <v>5.88</v>
      </c>
      <c r="D2022" s="229">
        <v>5.88</v>
      </c>
      <c r="E2022" s="229">
        <v>5.88</v>
      </c>
      <c r="F2022" s="229"/>
      <c r="G2022" s="229"/>
      <c r="H2022" s="229"/>
      <c r="I2022" s="229"/>
      <c r="J2022" s="229"/>
      <c r="K2022" s="229"/>
      <c r="L2022" s="229"/>
      <c r="M2022" s="229"/>
      <c r="N2022" s="232"/>
    </row>
    <row r="2023" hidden="1" spans="1:14">
      <c r="A2023" s="235"/>
      <c r="B2023" s="230" t="s">
        <v>1032</v>
      </c>
      <c r="C2023" s="229">
        <v>59.9626</v>
      </c>
      <c r="D2023" s="229">
        <v>59.9626</v>
      </c>
      <c r="E2023" s="229">
        <v>59.9626</v>
      </c>
      <c r="F2023" s="229"/>
      <c r="G2023" s="229"/>
      <c r="H2023" s="229"/>
      <c r="I2023" s="229"/>
      <c r="J2023" s="229"/>
      <c r="K2023" s="229"/>
      <c r="L2023" s="229"/>
      <c r="M2023" s="229"/>
      <c r="N2023" s="232"/>
    </row>
    <row r="2024" hidden="1" spans="1:14">
      <c r="A2024" s="235"/>
      <c r="B2024" s="230" t="s">
        <v>1036</v>
      </c>
      <c r="C2024" s="229">
        <v>7.195512</v>
      </c>
      <c r="D2024" s="229">
        <v>7.195512</v>
      </c>
      <c r="E2024" s="229">
        <v>7.195512</v>
      </c>
      <c r="F2024" s="229"/>
      <c r="G2024" s="229"/>
      <c r="H2024" s="229"/>
      <c r="I2024" s="229"/>
      <c r="J2024" s="229"/>
      <c r="K2024" s="229"/>
      <c r="L2024" s="229"/>
      <c r="M2024" s="229"/>
      <c r="N2024" s="232"/>
    </row>
    <row r="2025" hidden="1" spans="1:14">
      <c r="A2025" s="235"/>
      <c r="B2025" s="230" t="s">
        <v>1029</v>
      </c>
      <c r="C2025" s="229">
        <v>4.05</v>
      </c>
      <c r="D2025" s="229">
        <v>4.05</v>
      </c>
      <c r="E2025" s="229">
        <v>4.05</v>
      </c>
      <c r="F2025" s="229"/>
      <c r="G2025" s="229"/>
      <c r="H2025" s="229"/>
      <c r="I2025" s="229"/>
      <c r="J2025" s="229"/>
      <c r="K2025" s="229"/>
      <c r="L2025" s="229"/>
      <c r="M2025" s="229"/>
      <c r="N2025" s="232"/>
    </row>
    <row r="2026" hidden="1" spans="1:14">
      <c r="A2026" s="235"/>
      <c r="B2026" s="230" t="s">
        <v>1031</v>
      </c>
      <c r="C2026" s="229">
        <v>0.66</v>
      </c>
      <c r="D2026" s="229">
        <v>0.66</v>
      </c>
      <c r="E2026" s="229">
        <v>0.66</v>
      </c>
      <c r="F2026" s="229"/>
      <c r="G2026" s="229"/>
      <c r="H2026" s="229"/>
      <c r="I2026" s="229"/>
      <c r="J2026" s="229"/>
      <c r="K2026" s="229"/>
      <c r="L2026" s="229"/>
      <c r="M2026" s="229"/>
      <c r="N2026" s="232"/>
    </row>
    <row r="2027" hidden="1" spans="1:14">
      <c r="A2027" s="235"/>
      <c r="B2027" s="230" t="s">
        <v>1037</v>
      </c>
      <c r="C2027" s="229">
        <v>0.147</v>
      </c>
      <c r="D2027" s="229">
        <v>0.147</v>
      </c>
      <c r="E2027" s="229">
        <v>0.147</v>
      </c>
      <c r="F2027" s="229"/>
      <c r="G2027" s="229"/>
      <c r="H2027" s="229"/>
      <c r="I2027" s="229"/>
      <c r="J2027" s="229"/>
      <c r="K2027" s="229"/>
      <c r="L2027" s="229"/>
      <c r="M2027" s="229"/>
      <c r="N2027" s="232"/>
    </row>
    <row r="2028" hidden="1" spans="1:14">
      <c r="A2028" s="209">
        <v>807006</v>
      </c>
      <c r="B2028" s="231" t="s">
        <v>834</v>
      </c>
      <c r="C2028" s="229">
        <v>106.246358</v>
      </c>
      <c r="D2028" s="229">
        <v>106.246358</v>
      </c>
      <c r="E2028" s="229">
        <v>106.246358</v>
      </c>
      <c r="F2028" s="229"/>
      <c r="G2028" s="229"/>
      <c r="H2028" s="229"/>
      <c r="I2028" s="229"/>
      <c r="J2028" s="229"/>
      <c r="K2028" s="229"/>
      <c r="L2028" s="229"/>
      <c r="M2028" s="229"/>
      <c r="N2028" s="233"/>
    </row>
    <row r="2029" hidden="1" spans="1:14">
      <c r="A2029" s="235"/>
      <c r="B2029" s="230" t="s">
        <v>1039</v>
      </c>
      <c r="C2029" s="229">
        <v>1.433232</v>
      </c>
      <c r="D2029" s="229">
        <v>1.433232</v>
      </c>
      <c r="E2029" s="229">
        <v>1.433232</v>
      </c>
      <c r="F2029" s="229"/>
      <c r="G2029" s="229"/>
      <c r="H2029" s="229"/>
      <c r="I2029" s="229"/>
      <c r="J2029" s="229"/>
      <c r="K2029" s="229"/>
      <c r="L2029" s="229"/>
      <c r="M2029" s="229"/>
      <c r="N2029" s="232"/>
    </row>
    <row r="2030" hidden="1" spans="1:14">
      <c r="A2030" s="235"/>
      <c r="B2030" s="230" t="s">
        <v>1036</v>
      </c>
      <c r="C2030" s="229">
        <v>8.599392</v>
      </c>
      <c r="D2030" s="229">
        <v>8.599392</v>
      </c>
      <c r="E2030" s="229">
        <v>8.599392</v>
      </c>
      <c r="F2030" s="229"/>
      <c r="G2030" s="229"/>
      <c r="H2030" s="229"/>
      <c r="I2030" s="229"/>
      <c r="J2030" s="229"/>
      <c r="K2030" s="229"/>
      <c r="L2030" s="229"/>
      <c r="M2030" s="229"/>
      <c r="N2030" s="232"/>
    </row>
    <row r="2031" hidden="1" spans="1:14">
      <c r="A2031" s="235"/>
      <c r="B2031" s="230" t="s">
        <v>1033</v>
      </c>
      <c r="C2031" s="229">
        <v>19.032134</v>
      </c>
      <c r="D2031" s="229">
        <v>19.032134</v>
      </c>
      <c r="E2031" s="229">
        <v>19.032134</v>
      </c>
      <c r="F2031" s="229"/>
      <c r="G2031" s="229"/>
      <c r="H2031" s="229"/>
      <c r="I2031" s="229"/>
      <c r="J2031" s="229"/>
      <c r="K2031" s="229"/>
      <c r="L2031" s="229"/>
      <c r="M2031" s="229"/>
      <c r="N2031" s="232"/>
    </row>
    <row r="2032" hidden="1" spans="1:14">
      <c r="A2032" s="235"/>
      <c r="B2032" s="230" t="s">
        <v>1029</v>
      </c>
      <c r="C2032" s="229">
        <v>4.86</v>
      </c>
      <c r="D2032" s="229">
        <v>4.86</v>
      </c>
      <c r="E2032" s="229">
        <v>4.86</v>
      </c>
      <c r="F2032" s="229"/>
      <c r="G2032" s="229"/>
      <c r="H2032" s="229"/>
      <c r="I2032" s="229"/>
      <c r="J2032" s="229"/>
      <c r="K2032" s="229"/>
      <c r="L2032" s="229"/>
      <c r="M2032" s="229"/>
      <c r="N2032" s="232"/>
    </row>
    <row r="2033" hidden="1" spans="1:14">
      <c r="A2033" s="235"/>
      <c r="B2033" s="230" t="s">
        <v>1031</v>
      </c>
      <c r="C2033" s="229">
        <v>0.66</v>
      </c>
      <c r="D2033" s="229">
        <v>0.66</v>
      </c>
      <c r="E2033" s="229">
        <v>0.66</v>
      </c>
      <c r="F2033" s="229"/>
      <c r="G2033" s="229"/>
      <c r="H2033" s="229"/>
      <c r="I2033" s="229"/>
      <c r="J2033" s="229"/>
      <c r="K2033" s="229"/>
      <c r="L2033" s="229"/>
      <c r="M2033" s="229"/>
      <c r="N2033" s="232"/>
    </row>
    <row r="2034" hidden="1" spans="1:14">
      <c r="A2034" s="235"/>
      <c r="B2034" s="230" t="s">
        <v>1032</v>
      </c>
      <c r="C2034" s="229">
        <v>71.6616</v>
      </c>
      <c r="D2034" s="229">
        <v>71.6616</v>
      </c>
      <c r="E2034" s="229">
        <v>71.6616</v>
      </c>
      <c r="F2034" s="229"/>
      <c r="G2034" s="229"/>
      <c r="H2034" s="229"/>
      <c r="I2034" s="229"/>
      <c r="J2034" s="229"/>
      <c r="K2034" s="229"/>
      <c r="L2034" s="229"/>
      <c r="M2034" s="229"/>
      <c r="N2034" s="232"/>
    </row>
    <row r="2035" hidden="1" spans="1:14">
      <c r="A2035" s="209">
        <v>807007</v>
      </c>
      <c r="B2035" s="231" t="s">
        <v>836</v>
      </c>
      <c r="C2035" s="229">
        <v>99.378888</v>
      </c>
      <c r="D2035" s="229">
        <v>99.378888</v>
      </c>
      <c r="E2035" s="229">
        <v>99.378888</v>
      </c>
      <c r="F2035" s="229"/>
      <c r="G2035" s="229"/>
      <c r="H2035" s="229"/>
      <c r="I2035" s="229"/>
      <c r="J2035" s="229"/>
      <c r="K2035" s="229"/>
      <c r="L2035" s="229"/>
      <c r="M2035" s="229"/>
      <c r="N2035" s="233"/>
    </row>
    <row r="2036" hidden="1" spans="1:14">
      <c r="A2036" s="235"/>
      <c r="B2036" s="230" t="s">
        <v>1029</v>
      </c>
      <c r="C2036" s="229">
        <v>4.86</v>
      </c>
      <c r="D2036" s="229">
        <v>4.86</v>
      </c>
      <c r="E2036" s="229">
        <v>4.86</v>
      </c>
      <c r="F2036" s="229"/>
      <c r="G2036" s="229"/>
      <c r="H2036" s="229"/>
      <c r="I2036" s="229"/>
      <c r="J2036" s="229"/>
      <c r="K2036" s="229"/>
      <c r="L2036" s="229"/>
      <c r="M2036" s="229"/>
      <c r="N2036" s="232"/>
    </row>
    <row r="2037" hidden="1" spans="1:14">
      <c r="A2037" s="235"/>
      <c r="B2037" s="230" t="s">
        <v>1033</v>
      </c>
      <c r="C2037" s="229">
        <v>17.835648</v>
      </c>
      <c r="D2037" s="229">
        <v>17.835648</v>
      </c>
      <c r="E2037" s="229">
        <v>17.835648</v>
      </c>
      <c r="F2037" s="229"/>
      <c r="G2037" s="229"/>
      <c r="H2037" s="229"/>
      <c r="I2037" s="229"/>
      <c r="J2037" s="229"/>
      <c r="K2037" s="229"/>
      <c r="L2037" s="229"/>
      <c r="M2037" s="229"/>
      <c r="N2037" s="232"/>
    </row>
    <row r="2038" hidden="1" spans="1:14">
      <c r="A2038" s="235"/>
      <c r="B2038" s="230" t="s">
        <v>1039</v>
      </c>
      <c r="C2038" s="229">
        <v>1.34532</v>
      </c>
      <c r="D2038" s="229">
        <v>1.34532</v>
      </c>
      <c r="E2038" s="229">
        <v>1.34532</v>
      </c>
      <c r="F2038" s="229"/>
      <c r="G2038" s="229"/>
      <c r="H2038" s="229"/>
      <c r="I2038" s="229"/>
      <c r="J2038" s="229"/>
      <c r="K2038" s="229"/>
      <c r="L2038" s="229"/>
      <c r="M2038" s="229"/>
      <c r="N2038" s="232"/>
    </row>
    <row r="2039" hidden="1" spans="1:14">
      <c r="A2039" s="235"/>
      <c r="B2039" s="230" t="s">
        <v>1036</v>
      </c>
      <c r="C2039" s="229">
        <v>8.07192</v>
      </c>
      <c r="D2039" s="229">
        <v>8.07192</v>
      </c>
      <c r="E2039" s="229">
        <v>8.07192</v>
      </c>
      <c r="F2039" s="229"/>
      <c r="G2039" s="229"/>
      <c r="H2039" s="229"/>
      <c r="I2039" s="229"/>
      <c r="J2039" s="229"/>
      <c r="K2039" s="229"/>
      <c r="L2039" s="229"/>
      <c r="M2039" s="229"/>
      <c r="N2039" s="232"/>
    </row>
    <row r="2040" hidden="1" spans="1:14">
      <c r="A2040" s="235"/>
      <c r="B2040" s="230" t="s">
        <v>1032</v>
      </c>
      <c r="C2040" s="229">
        <v>67.266</v>
      </c>
      <c r="D2040" s="229">
        <v>67.266</v>
      </c>
      <c r="E2040" s="229">
        <v>67.266</v>
      </c>
      <c r="F2040" s="229"/>
      <c r="G2040" s="229"/>
      <c r="H2040" s="229"/>
      <c r="I2040" s="229"/>
      <c r="J2040" s="229"/>
      <c r="K2040" s="229"/>
      <c r="L2040" s="229"/>
      <c r="M2040" s="229"/>
      <c r="N2040" s="232"/>
    </row>
    <row r="2041" hidden="1" spans="1:14">
      <c r="A2041" s="209">
        <v>808001</v>
      </c>
      <c r="B2041" s="231" t="s">
        <v>839</v>
      </c>
      <c r="C2041" s="229">
        <v>1120.748123</v>
      </c>
      <c r="D2041" s="229">
        <v>1120.748123</v>
      </c>
      <c r="E2041" s="229">
        <v>1120.748123</v>
      </c>
      <c r="F2041" s="229"/>
      <c r="G2041" s="229"/>
      <c r="H2041" s="229"/>
      <c r="I2041" s="229"/>
      <c r="J2041" s="229"/>
      <c r="K2041" s="229"/>
      <c r="L2041" s="229"/>
      <c r="M2041" s="229"/>
      <c r="N2041" s="233"/>
    </row>
    <row r="2042" hidden="1" spans="1:14">
      <c r="A2042" s="235"/>
      <c r="B2042" s="230" t="s">
        <v>1037</v>
      </c>
      <c r="C2042" s="229">
        <v>2.536469</v>
      </c>
      <c r="D2042" s="229">
        <v>2.536469</v>
      </c>
      <c r="E2042" s="229">
        <v>2.536469</v>
      </c>
      <c r="F2042" s="229"/>
      <c r="G2042" s="229"/>
      <c r="H2042" s="229"/>
      <c r="I2042" s="229"/>
      <c r="J2042" s="229"/>
      <c r="K2042" s="229"/>
      <c r="L2042" s="229"/>
      <c r="M2042" s="229"/>
      <c r="N2042" s="232"/>
    </row>
    <row r="2043" hidden="1" spans="1:14">
      <c r="A2043" s="235"/>
      <c r="B2043" s="230" t="s">
        <v>1038</v>
      </c>
      <c r="C2043" s="229">
        <v>1.02</v>
      </c>
      <c r="D2043" s="229">
        <v>1.02</v>
      </c>
      <c r="E2043" s="229">
        <v>1.02</v>
      </c>
      <c r="F2043" s="229"/>
      <c r="G2043" s="229"/>
      <c r="H2043" s="229"/>
      <c r="I2043" s="229"/>
      <c r="J2043" s="229"/>
      <c r="K2043" s="229"/>
      <c r="L2043" s="229"/>
      <c r="M2043" s="229"/>
      <c r="N2043" s="232"/>
    </row>
    <row r="2044" hidden="1" spans="1:14">
      <c r="A2044" s="235"/>
      <c r="B2044" s="230" t="s">
        <v>1029</v>
      </c>
      <c r="C2044" s="229">
        <v>79.38</v>
      </c>
      <c r="D2044" s="229">
        <v>79.38</v>
      </c>
      <c r="E2044" s="229">
        <v>79.38</v>
      </c>
      <c r="F2044" s="229"/>
      <c r="G2044" s="229"/>
      <c r="H2044" s="229"/>
      <c r="I2044" s="229"/>
      <c r="J2044" s="229"/>
      <c r="K2044" s="229"/>
      <c r="L2044" s="229"/>
      <c r="M2044" s="229"/>
      <c r="N2044" s="232"/>
    </row>
    <row r="2045" hidden="1" spans="1:14">
      <c r="A2045" s="235"/>
      <c r="B2045" s="230" t="s">
        <v>1032</v>
      </c>
      <c r="C2045" s="229">
        <v>621.489632</v>
      </c>
      <c r="D2045" s="229">
        <v>621.489632</v>
      </c>
      <c r="E2045" s="229">
        <v>621.489632</v>
      </c>
      <c r="F2045" s="229"/>
      <c r="G2045" s="229"/>
      <c r="H2045" s="229"/>
      <c r="I2045" s="229"/>
      <c r="J2045" s="229"/>
      <c r="K2045" s="229"/>
      <c r="L2045" s="229"/>
      <c r="M2045" s="229"/>
      <c r="N2045" s="232"/>
    </row>
    <row r="2046" hidden="1" spans="1:14">
      <c r="A2046" s="235"/>
      <c r="B2046" s="230" t="s">
        <v>1028</v>
      </c>
      <c r="C2046" s="229">
        <v>101.45874</v>
      </c>
      <c r="D2046" s="229">
        <v>101.45874</v>
      </c>
      <c r="E2046" s="229">
        <v>101.45874</v>
      </c>
      <c r="F2046" s="229"/>
      <c r="G2046" s="229"/>
      <c r="H2046" s="229"/>
      <c r="I2046" s="229"/>
      <c r="J2046" s="229"/>
      <c r="K2046" s="229"/>
      <c r="L2046" s="229"/>
      <c r="M2046" s="229"/>
      <c r="N2046" s="232"/>
    </row>
    <row r="2047" hidden="1" spans="1:14">
      <c r="A2047" s="235"/>
      <c r="B2047" s="230" t="s">
        <v>1034</v>
      </c>
      <c r="C2047" s="229">
        <v>7.098</v>
      </c>
      <c r="D2047" s="229">
        <v>7.098</v>
      </c>
      <c r="E2047" s="229">
        <v>7.098</v>
      </c>
      <c r="F2047" s="229"/>
      <c r="G2047" s="229"/>
      <c r="H2047" s="229"/>
      <c r="I2047" s="229"/>
      <c r="J2047" s="229"/>
      <c r="K2047" s="229"/>
      <c r="L2047" s="229"/>
      <c r="M2047" s="229"/>
      <c r="N2047" s="232"/>
    </row>
    <row r="2048" hidden="1" spans="1:14">
      <c r="A2048" s="235"/>
      <c r="B2048" s="230" t="s">
        <v>1031</v>
      </c>
      <c r="C2048" s="229">
        <v>27.888</v>
      </c>
      <c r="D2048" s="229">
        <v>27.888</v>
      </c>
      <c r="E2048" s="229">
        <v>27.888</v>
      </c>
      <c r="F2048" s="229"/>
      <c r="G2048" s="229"/>
      <c r="H2048" s="229"/>
      <c r="I2048" s="229"/>
      <c r="J2048" s="229"/>
      <c r="K2048" s="229"/>
      <c r="L2048" s="229"/>
      <c r="M2048" s="229"/>
      <c r="N2048" s="232"/>
    </row>
    <row r="2049" hidden="1" spans="1:14">
      <c r="A2049" s="235"/>
      <c r="B2049" s="230" t="s">
        <v>1030</v>
      </c>
      <c r="C2049" s="229">
        <v>8</v>
      </c>
      <c r="D2049" s="229">
        <v>8</v>
      </c>
      <c r="E2049" s="229">
        <v>8</v>
      </c>
      <c r="F2049" s="229"/>
      <c r="G2049" s="229"/>
      <c r="H2049" s="229"/>
      <c r="I2049" s="229"/>
      <c r="J2049" s="229"/>
      <c r="K2049" s="229"/>
      <c r="L2049" s="229"/>
      <c r="M2049" s="229"/>
      <c r="N2049" s="232"/>
    </row>
    <row r="2050" hidden="1" spans="1:14">
      <c r="A2050" s="235"/>
      <c r="B2050" s="230" t="s">
        <v>1033</v>
      </c>
      <c r="C2050" s="229">
        <v>181.468733</v>
      </c>
      <c r="D2050" s="229">
        <v>181.468733</v>
      </c>
      <c r="E2050" s="229">
        <v>181.468733</v>
      </c>
      <c r="F2050" s="229"/>
      <c r="G2050" s="229"/>
      <c r="H2050" s="229"/>
      <c r="I2050" s="229"/>
      <c r="J2050" s="229"/>
      <c r="K2050" s="229"/>
      <c r="L2050" s="229"/>
      <c r="M2050" s="229"/>
      <c r="N2050" s="232"/>
    </row>
    <row r="2051" hidden="1" spans="1:14">
      <c r="A2051" s="235"/>
      <c r="B2051" s="230" t="s">
        <v>1036</v>
      </c>
      <c r="C2051" s="229">
        <v>74.578756</v>
      </c>
      <c r="D2051" s="229">
        <v>74.578756</v>
      </c>
      <c r="E2051" s="229">
        <v>74.578756</v>
      </c>
      <c r="F2051" s="229"/>
      <c r="G2051" s="229"/>
      <c r="H2051" s="229"/>
      <c r="I2051" s="229"/>
      <c r="J2051" s="229"/>
      <c r="K2051" s="229"/>
      <c r="L2051" s="229"/>
      <c r="M2051" s="229"/>
      <c r="N2051" s="232"/>
    </row>
    <row r="2052" hidden="1" spans="1:14">
      <c r="A2052" s="235"/>
      <c r="B2052" s="230" t="s">
        <v>1035</v>
      </c>
      <c r="C2052" s="229">
        <v>3.4</v>
      </c>
      <c r="D2052" s="229">
        <v>3.4</v>
      </c>
      <c r="E2052" s="229">
        <v>3.4</v>
      </c>
      <c r="F2052" s="229"/>
      <c r="G2052" s="229"/>
      <c r="H2052" s="229"/>
      <c r="I2052" s="229"/>
      <c r="J2052" s="229"/>
      <c r="K2052" s="229"/>
      <c r="L2052" s="229"/>
      <c r="M2052" s="229"/>
      <c r="N2052" s="232"/>
    </row>
    <row r="2053" hidden="1" spans="1:14">
      <c r="A2053" s="235"/>
      <c r="B2053" s="230" t="s">
        <v>1039</v>
      </c>
      <c r="C2053" s="229">
        <v>12.429793</v>
      </c>
      <c r="D2053" s="229">
        <v>12.429793</v>
      </c>
      <c r="E2053" s="229">
        <v>12.429793</v>
      </c>
      <c r="F2053" s="229"/>
      <c r="G2053" s="229"/>
      <c r="H2053" s="229"/>
      <c r="I2053" s="229"/>
      <c r="J2053" s="229"/>
      <c r="K2053" s="229"/>
      <c r="L2053" s="229"/>
      <c r="M2053" s="229"/>
      <c r="N2053" s="232"/>
    </row>
    <row r="2054" hidden="1" spans="1:14">
      <c r="A2054" s="209">
        <v>808002</v>
      </c>
      <c r="B2054" s="230" t="s">
        <v>841</v>
      </c>
      <c r="C2054" s="229">
        <v>227.937861</v>
      </c>
      <c r="D2054" s="229">
        <v>227.937861</v>
      </c>
      <c r="E2054" s="229">
        <v>227.937861</v>
      </c>
      <c r="F2054" s="229"/>
      <c r="G2054" s="229"/>
      <c r="H2054" s="229"/>
      <c r="I2054" s="229"/>
      <c r="J2054" s="229"/>
      <c r="K2054" s="229"/>
      <c r="L2054" s="229"/>
      <c r="M2054" s="229"/>
      <c r="N2054" s="233"/>
    </row>
    <row r="2055" hidden="1" spans="1:14">
      <c r="A2055" s="235"/>
      <c r="B2055" s="230" t="s">
        <v>1037</v>
      </c>
      <c r="C2055" s="229">
        <v>0.588</v>
      </c>
      <c r="D2055" s="229">
        <v>0.588</v>
      </c>
      <c r="E2055" s="229">
        <v>0.588</v>
      </c>
      <c r="F2055" s="229"/>
      <c r="G2055" s="229"/>
      <c r="H2055" s="229"/>
      <c r="I2055" s="229"/>
      <c r="J2055" s="229"/>
      <c r="K2055" s="229"/>
      <c r="L2055" s="229"/>
      <c r="M2055" s="229"/>
      <c r="N2055" s="232"/>
    </row>
    <row r="2056" hidden="1" spans="1:14">
      <c r="A2056" s="235"/>
      <c r="B2056" s="230" t="s">
        <v>1032</v>
      </c>
      <c r="C2056" s="229">
        <v>133.9244</v>
      </c>
      <c r="D2056" s="229">
        <v>133.9244</v>
      </c>
      <c r="E2056" s="229">
        <v>133.9244</v>
      </c>
      <c r="F2056" s="229"/>
      <c r="G2056" s="229"/>
      <c r="H2056" s="229"/>
      <c r="I2056" s="229"/>
      <c r="J2056" s="229"/>
      <c r="K2056" s="229"/>
      <c r="L2056" s="229"/>
      <c r="M2056" s="229"/>
      <c r="N2056" s="232"/>
    </row>
    <row r="2057" hidden="1" spans="1:14">
      <c r="A2057" s="235"/>
      <c r="B2057" s="230" t="s">
        <v>1036</v>
      </c>
      <c r="C2057" s="229">
        <v>16.070928</v>
      </c>
      <c r="D2057" s="229">
        <v>16.070928</v>
      </c>
      <c r="E2057" s="229">
        <v>16.070928</v>
      </c>
      <c r="F2057" s="229"/>
      <c r="G2057" s="229"/>
      <c r="H2057" s="229"/>
      <c r="I2057" s="229"/>
      <c r="J2057" s="229"/>
      <c r="K2057" s="229"/>
      <c r="L2057" s="229"/>
      <c r="M2057" s="229"/>
      <c r="N2057" s="232"/>
    </row>
    <row r="2058" hidden="1" spans="1:14">
      <c r="A2058" s="235"/>
      <c r="B2058" s="230" t="s">
        <v>1028</v>
      </c>
      <c r="C2058" s="229">
        <v>23.52</v>
      </c>
      <c r="D2058" s="229">
        <v>23.52</v>
      </c>
      <c r="E2058" s="229">
        <v>23.52</v>
      </c>
      <c r="F2058" s="229"/>
      <c r="G2058" s="229"/>
      <c r="H2058" s="229"/>
      <c r="I2058" s="229"/>
      <c r="J2058" s="229"/>
      <c r="K2058" s="229"/>
      <c r="L2058" s="229"/>
      <c r="M2058" s="229"/>
      <c r="N2058" s="232"/>
    </row>
    <row r="2059" hidden="1" spans="1:14">
      <c r="A2059" s="235"/>
      <c r="B2059" s="230" t="s">
        <v>1033</v>
      </c>
      <c r="C2059" s="229">
        <v>40.396045</v>
      </c>
      <c r="D2059" s="229">
        <v>40.396045</v>
      </c>
      <c r="E2059" s="229">
        <v>40.396045</v>
      </c>
      <c r="F2059" s="229"/>
      <c r="G2059" s="229"/>
      <c r="H2059" s="229"/>
      <c r="I2059" s="229"/>
      <c r="J2059" s="229"/>
      <c r="K2059" s="229"/>
      <c r="L2059" s="229"/>
      <c r="M2059" s="229"/>
      <c r="N2059" s="232"/>
    </row>
    <row r="2060" hidden="1" spans="1:14">
      <c r="A2060" s="235"/>
      <c r="B2060" s="230" t="s">
        <v>1039</v>
      </c>
      <c r="C2060" s="229">
        <v>2.678488</v>
      </c>
      <c r="D2060" s="229">
        <v>2.678488</v>
      </c>
      <c r="E2060" s="229">
        <v>2.678488</v>
      </c>
      <c r="F2060" s="229"/>
      <c r="G2060" s="229"/>
      <c r="H2060" s="229"/>
      <c r="I2060" s="229"/>
      <c r="J2060" s="229"/>
      <c r="K2060" s="229"/>
      <c r="L2060" s="229"/>
      <c r="M2060" s="229"/>
      <c r="N2060" s="232"/>
    </row>
    <row r="2061" hidden="1" spans="1:14">
      <c r="A2061" s="235"/>
      <c r="B2061" s="230" t="s">
        <v>1029</v>
      </c>
      <c r="C2061" s="229">
        <v>9.72</v>
      </c>
      <c r="D2061" s="229">
        <v>9.72</v>
      </c>
      <c r="E2061" s="229">
        <v>9.72</v>
      </c>
      <c r="F2061" s="229"/>
      <c r="G2061" s="229"/>
      <c r="H2061" s="229"/>
      <c r="I2061" s="229"/>
      <c r="J2061" s="229"/>
      <c r="K2061" s="229"/>
      <c r="L2061" s="229"/>
      <c r="M2061" s="229"/>
      <c r="N2061" s="232"/>
    </row>
    <row r="2062" hidden="1" spans="1:14">
      <c r="A2062" s="235"/>
      <c r="B2062" s="230" t="s">
        <v>1038</v>
      </c>
      <c r="C2062" s="229">
        <v>0.24</v>
      </c>
      <c r="D2062" s="229">
        <v>0.24</v>
      </c>
      <c r="E2062" s="229">
        <v>0.24</v>
      </c>
      <c r="F2062" s="229"/>
      <c r="G2062" s="229"/>
      <c r="H2062" s="229"/>
      <c r="I2062" s="229"/>
      <c r="J2062" s="229"/>
      <c r="K2062" s="229"/>
      <c r="L2062" s="229"/>
      <c r="M2062" s="229"/>
      <c r="N2062" s="232"/>
    </row>
    <row r="2063" hidden="1" spans="1:14">
      <c r="A2063" s="235"/>
      <c r="B2063" s="230" t="s">
        <v>1035</v>
      </c>
      <c r="C2063" s="229">
        <v>0.8</v>
      </c>
      <c r="D2063" s="229">
        <v>0.8</v>
      </c>
      <c r="E2063" s="229">
        <v>0.8</v>
      </c>
      <c r="F2063" s="229"/>
      <c r="G2063" s="229"/>
      <c r="H2063" s="229"/>
      <c r="I2063" s="229"/>
      <c r="J2063" s="229"/>
      <c r="K2063" s="229"/>
      <c r="L2063" s="229"/>
      <c r="M2063" s="229"/>
      <c r="N2063" s="232"/>
    </row>
    <row r="2064" hidden="1" spans="1:14">
      <c r="A2064" s="209">
        <v>808003</v>
      </c>
      <c r="B2064" s="231" t="s">
        <v>843</v>
      </c>
      <c r="C2064" s="229">
        <v>15.488086</v>
      </c>
      <c r="D2064" s="229">
        <v>15.488086</v>
      </c>
      <c r="E2064" s="229">
        <v>15.488086</v>
      </c>
      <c r="F2064" s="229"/>
      <c r="G2064" s="229"/>
      <c r="H2064" s="229"/>
      <c r="I2064" s="229"/>
      <c r="J2064" s="229"/>
      <c r="K2064" s="229"/>
      <c r="L2064" s="229"/>
      <c r="M2064" s="229"/>
      <c r="N2064" s="233"/>
    </row>
    <row r="2065" hidden="1" spans="1:14">
      <c r="A2065" s="235"/>
      <c r="B2065" s="230" t="s">
        <v>1033</v>
      </c>
      <c r="C2065" s="229">
        <v>2.76121</v>
      </c>
      <c r="D2065" s="229">
        <v>2.76121</v>
      </c>
      <c r="E2065" s="229">
        <v>2.76121</v>
      </c>
      <c r="F2065" s="229"/>
      <c r="G2065" s="229"/>
      <c r="H2065" s="229"/>
      <c r="I2065" s="229"/>
      <c r="J2065" s="229"/>
      <c r="K2065" s="229"/>
      <c r="L2065" s="229"/>
      <c r="M2065" s="229"/>
      <c r="N2065" s="232"/>
    </row>
    <row r="2066" hidden="1" spans="1:14">
      <c r="A2066" s="235"/>
      <c r="B2066" s="230" t="s">
        <v>1032</v>
      </c>
      <c r="C2066" s="229">
        <v>10.4534</v>
      </c>
      <c r="D2066" s="229">
        <v>10.4534</v>
      </c>
      <c r="E2066" s="229">
        <v>10.4534</v>
      </c>
      <c r="F2066" s="229"/>
      <c r="G2066" s="229"/>
      <c r="H2066" s="229"/>
      <c r="I2066" s="229"/>
      <c r="J2066" s="229"/>
      <c r="K2066" s="229"/>
      <c r="L2066" s="229"/>
      <c r="M2066" s="229"/>
      <c r="N2066" s="232"/>
    </row>
    <row r="2067" hidden="1" spans="1:14">
      <c r="A2067" s="235"/>
      <c r="B2067" s="230" t="s">
        <v>1029</v>
      </c>
      <c r="C2067" s="229">
        <v>0.81</v>
      </c>
      <c r="D2067" s="229">
        <v>0.81</v>
      </c>
      <c r="E2067" s="229">
        <v>0.81</v>
      </c>
      <c r="F2067" s="229"/>
      <c r="G2067" s="229"/>
      <c r="H2067" s="229"/>
      <c r="I2067" s="229"/>
      <c r="J2067" s="229"/>
      <c r="K2067" s="229"/>
      <c r="L2067" s="229"/>
      <c r="M2067" s="229"/>
      <c r="N2067" s="232"/>
    </row>
    <row r="2068" hidden="1" spans="1:14">
      <c r="A2068" s="235"/>
      <c r="B2068" s="230" t="s">
        <v>1036</v>
      </c>
      <c r="C2068" s="229">
        <v>1.254408</v>
      </c>
      <c r="D2068" s="229">
        <v>1.254408</v>
      </c>
      <c r="E2068" s="229">
        <v>1.254408</v>
      </c>
      <c r="F2068" s="229"/>
      <c r="G2068" s="229"/>
      <c r="H2068" s="229"/>
      <c r="I2068" s="229"/>
      <c r="J2068" s="229"/>
      <c r="K2068" s="229"/>
      <c r="L2068" s="229"/>
      <c r="M2068" s="229"/>
      <c r="N2068" s="232"/>
    </row>
    <row r="2069" hidden="1" spans="1:14">
      <c r="A2069" s="235"/>
      <c r="B2069" s="230" t="s">
        <v>1039</v>
      </c>
      <c r="C2069" s="229">
        <v>0.209068</v>
      </c>
      <c r="D2069" s="229">
        <v>0.209068</v>
      </c>
      <c r="E2069" s="229">
        <v>0.209068</v>
      </c>
      <c r="F2069" s="229"/>
      <c r="G2069" s="229"/>
      <c r="H2069" s="229"/>
      <c r="I2069" s="229"/>
      <c r="J2069" s="229"/>
      <c r="K2069" s="229"/>
      <c r="L2069" s="229"/>
      <c r="M2069" s="229"/>
      <c r="N2069" s="232"/>
    </row>
    <row r="2070" hidden="1" spans="1:14">
      <c r="A2070" s="209">
        <v>808004</v>
      </c>
      <c r="B2070" s="231" t="s">
        <v>845</v>
      </c>
      <c r="C2070" s="229">
        <v>74.281439</v>
      </c>
      <c r="D2070" s="229">
        <v>74.281439</v>
      </c>
      <c r="E2070" s="229">
        <v>74.281439</v>
      </c>
      <c r="F2070" s="229"/>
      <c r="G2070" s="229"/>
      <c r="H2070" s="229"/>
      <c r="I2070" s="229"/>
      <c r="J2070" s="229"/>
      <c r="K2070" s="229"/>
      <c r="L2070" s="229"/>
      <c r="M2070" s="229"/>
      <c r="N2070" s="233"/>
    </row>
    <row r="2071" hidden="1" spans="1:14">
      <c r="A2071" s="235"/>
      <c r="B2071" s="230" t="s">
        <v>1037</v>
      </c>
      <c r="C2071" s="229">
        <v>0.147</v>
      </c>
      <c r="D2071" s="229">
        <v>0.147</v>
      </c>
      <c r="E2071" s="229">
        <v>0.147</v>
      </c>
      <c r="F2071" s="229"/>
      <c r="G2071" s="229"/>
      <c r="H2071" s="229"/>
      <c r="I2071" s="229"/>
      <c r="J2071" s="229"/>
      <c r="K2071" s="229"/>
      <c r="L2071" s="229"/>
      <c r="M2071" s="229"/>
      <c r="N2071" s="232"/>
    </row>
    <row r="2072" hidden="1" spans="1:14">
      <c r="A2072" s="235"/>
      <c r="B2072" s="230" t="s">
        <v>1033</v>
      </c>
      <c r="C2072" s="229">
        <v>13.368939</v>
      </c>
      <c r="D2072" s="229">
        <v>13.368939</v>
      </c>
      <c r="E2072" s="229">
        <v>13.368939</v>
      </c>
      <c r="F2072" s="229"/>
      <c r="G2072" s="229"/>
      <c r="H2072" s="229"/>
      <c r="I2072" s="229"/>
      <c r="J2072" s="229"/>
      <c r="K2072" s="229"/>
      <c r="L2072" s="229"/>
      <c r="M2072" s="229"/>
      <c r="N2072" s="232"/>
    </row>
    <row r="2073" hidden="1" spans="1:14">
      <c r="A2073" s="235"/>
      <c r="B2073" s="230" t="s">
        <v>1029</v>
      </c>
      <c r="C2073" s="229">
        <v>3.24</v>
      </c>
      <c r="D2073" s="229">
        <v>3.24</v>
      </c>
      <c r="E2073" s="229">
        <v>3.24</v>
      </c>
      <c r="F2073" s="229"/>
      <c r="G2073" s="229"/>
      <c r="H2073" s="229"/>
      <c r="I2073" s="229"/>
      <c r="J2073" s="229"/>
      <c r="K2073" s="229"/>
      <c r="L2073" s="229"/>
      <c r="M2073" s="229"/>
      <c r="N2073" s="232"/>
    </row>
    <row r="2074" hidden="1" spans="1:14">
      <c r="A2074" s="235"/>
      <c r="B2074" s="230" t="s">
        <v>1035</v>
      </c>
      <c r="C2074" s="229">
        <v>0.2</v>
      </c>
      <c r="D2074" s="229">
        <v>0.2</v>
      </c>
      <c r="E2074" s="229">
        <v>0.2</v>
      </c>
      <c r="F2074" s="229"/>
      <c r="G2074" s="229"/>
      <c r="H2074" s="229"/>
      <c r="I2074" s="229"/>
      <c r="J2074" s="229"/>
      <c r="K2074" s="229"/>
      <c r="L2074" s="229"/>
      <c r="M2074" s="229"/>
      <c r="N2074" s="232"/>
    </row>
    <row r="2075" hidden="1" spans="1:14">
      <c r="A2075" s="235"/>
      <c r="B2075" s="230" t="s">
        <v>1032</v>
      </c>
      <c r="C2075" s="229">
        <v>45.075</v>
      </c>
      <c r="D2075" s="229">
        <v>45.075</v>
      </c>
      <c r="E2075" s="229">
        <v>45.075</v>
      </c>
      <c r="F2075" s="229"/>
      <c r="G2075" s="229"/>
      <c r="H2075" s="229"/>
      <c r="I2075" s="229"/>
      <c r="J2075" s="229"/>
      <c r="K2075" s="229"/>
      <c r="L2075" s="229"/>
      <c r="M2075" s="229"/>
      <c r="N2075" s="232"/>
    </row>
    <row r="2076" hidden="1" spans="1:14">
      <c r="A2076" s="235"/>
      <c r="B2076" s="230" t="s">
        <v>1039</v>
      </c>
      <c r="C2076" s="229">
        <v>0.9015</v>
      </c>
      <c r="D2076" s="229">
        <v>0.9015</v>
      </c>
      <c r="E2076" s="229">
        <v>0.9015</v>
      </c>
      <c r="F2076" s="229"/>
      <c r="G2076" s="229"/>
      <c r="H2076" s="229"/>
      <c r="I2076" s="229"/>
      <c r="J2076" s="229"/>
      <c r="K2076" s="229"/>
      <c r="L2076" s="229"/>
      <c r="M2076" s="229"/>
      <c r="N2076" s="232"/>
    </row>
    <row r="2077" hidden="1" spans="1:14">
      <c r="A2077" s="235"/>
      <c r="B2077" s="230" t="s">
        <v>1036</v>
      </c>
      <c r="C2077" s="229">
        <v>5.409</v>
      </c>
      <c r="D2077" s="229">
        <v>5.409</v>
      </c>
      <c r="E2077" s="229">
        <v>5.409</v>
      </c>
      <c r="F2077" s="229"/>
      <c r="G2077" s="229"/>
      <c r="H2077" s="229"/>
      <c r="I2077" s="229"/>
      <c r="J2077" s="229"/>
      <c r="K2077" s="229"/>
      <c r="L2077" s="229"/>
      <c r="M2077" s="229"/>
      <c r="N2077" s="232"/>
    </row>
    <row r="2078" hidden="1" spans="1:14">
      <c r="A2078" s="235"/>
      <c r="B2078" s="230" t="s">
        <v>1038</v>
      </c>
      <c r="C2078" s="229">
        <v>0.06</v>
      </c>
      <c r="D2078" s="229">
        <v>0.06</v>
      </c>
      <c r="E2078" s="229">
        <v>0.06</v>
      </c>
      <c r="F2078" s="229"/>
      <c r="G2078" s="229"/>
      <c r="H2078" s="229"/>
      <c r="I2078" s="229"/>
      <c r="J2078" s="229"/>
      <c r="K2078" s="229"/>
      <c r="L2078" s="229"/>
      <c r="M2078" s="229"/>
      <c r="N2078" s="232"/>
    </row>
    <row r="2079" hidden="1" spans="1:14">
      <c r="A2079" s="235"/>
      <c r="B2079" s="230" t="s">
        <v>1028</v>
      </c>
      <c r="C2079" s="229">
        <v>5.88</v>
      </c>
      <c r="D2079" s="229">
        <v>5.88</v>
      </c>
      <c r="E2079" s="229">
        <v>5.88</v>
      </c>
      <c r="F2079" s="229"/>
      <c r="G2079" s="229"/>
      <c r="H2079" s="229"/>
      <c r="I2079" s="229"/>
      <c r="J2079" s="229"/>
      <c r="K2079" s="229"/>
      <c r="L2079" s="229"/>
      <c r="M2079" s="229"/>
      <c r="N2079" s="232"/>
    </row>
    <row r="2080" hidden="1" spans="1:14">
      <c r="A2080" s="209">
        <v>808005</v>
      </c>
      <c r="B2080" s="230" t="s">
        <v>847</v>
      </c>
      <c r="C2080" s="229">
        <v>70.850682</v>
      </c>
      <c r="D2080" s="229">
        <v>70.850682</v>
      </c>
      <c r="E2080" s="229">
        <v>70.850682</v>
      </c>
      <c r="F2080" s="229"/>
      <c r="G2080" s="229"/>
      <c r="H2080" s="229"/>
      <c r="I2080" s="229"/>
      <c r="J2080" s="229"/>
      <c r="K2080" s="229"/>
      <c r="L2080" s="229"/>
      <c r="M2080" s="229"/>
      <c r="N2080" s="233"/>
    </row>
    <row r="2081" hidden="1" spans="1:14">
      <c r="A2081" s="235"/>
      <c r="B2081" s="230" t="s">
        <v>1037</v>
      </c>
      <c r="C2081" s="229">
        <v>0.0735</v>
      </c>
      <c r="D2081" s="229">
        <v>0.0735</v>
      </c>
      <c r="E2081" s="229">
        <v>0.0735</v>
      </c>
      <c r="F2081" s="229"/>
      <c r="G2081" s="229"/>
      <c r="H2081" s="229"/>
      <c r="I2081" s="229"/>
      <c r="J2081" s="229"/>
      <c r="K2081" s="229"/>
      <c r="L2081" s="229"/>
      <c r="M2081" s="229"/>
      <c r="N2081" s="232"/>
    </row>
    <row r="2082" hidden="1" spans="1:14">
      <c r="A2082" s="235"/>
      <c r="B2082" s="230" t="s">
        <v>1028</v>
      </c>
      <c r="C2082" s="229">
        <v>2.94</v>
      </c>
      <c r="D2082" s="229">
        <v>2.94</v>
      </c>
      <c r="E2082" s="229">
        <v>2.94</v>
      </c>
      <c r="F2082" s="229"/>
      <c r="G2082" s="229"/>
      <c r="H2082" s="229"/>
      <c r="I2082" s="229"/>
      <c r="J2082" s="229"/>
      <c r="K2082" s="229"/>
      <c r="L2082" s="229"/>
      <c r="M2082" s="229"/>
      <c r="N2082" s="232"/>
    </row>
    <row r="2083" hidden="1" spans="1:14">
      <c r="A2083" s="235"/>
      <c r="B2083" s="230" t="s">
        <v>1033</v>
      </c>
      <c r="C2083" s="229">
        <v>12.62591</v>
      </c>
      <c r="D2083" s="229">
        <v>12.62591</v>
      </c>
      <c r="E2083" s="229">
        <v>12.62591</v>
      </c>
      <c r="F2083" s="229"/>
      <c r="G2083" s="229"/>
      <c r="H2083" s="229"/>
      <c r="I2083" s="229"/>
      <c r="J2083" s="229"/>
      <c r="K2083" s="229"/>
      <c r="L2083" s="229"/>
      <c r="M2083" s="229"/>
      <c r="N2083" s="232"/>
    </row>
    <row r="2084" hidden="1" spans="1:14">
      <c r="A2084" s="235"/>
      <c r="B2084" s="230" t="s">
        <v>1036</v>
      </c>
      <c r="C2084" s="229">
        <v>5.456976</v>
      </c>
      <c r="D2084" s="229">
        <v>5.456976</v>
      </c>
      <c r="E2084" s="229">
        <v>5.456976</v>
      </c>
      <c r="F2084" s="229"/>
      <c r="G2084" s="229"/>
      <c r="H2084" s="229"/>
      <c r="I2084" s="229"/>
      <c r="J2084" s="229"/>
      <c r="K2084" s="229"/>
      <c r="L2084" s="229"/>
      <c r="M2084" s="229"/>
      <c r="N2084" s="232"/>
    </row>
    <row r="2085" hidden="1" spans="1:14">
      <c r="A2085" s="235"/>
      <c r="B2085" s="230" t="s">
        <v>1032</v>
      </c>
      <c r="C2085" s="229">
        <v>45.4748</v>
      </c>
      <c r="D2085" s="229">
        <v>45.4748</v>
      </c>
      <c r="E2085" s="229">
        <v>45.4748</v>
      </c>
      <c r="F2085" s="229"/>
      <c r="G2085" s="229"/>
      <c r="H2085" s="229"/>
      <c r="I2085" s="229"/>
      <c r="J2085" s="229"/>
      <c r="K2085" s="229"/>
      <c r="L2085" s="229"/>
      <c r="M2085" s="229"/>
      <c r="N2085" s="232"/>
    </row>
    <row r="2086" hidden="1" spans="1:14">
      <c r="A2086" s="235"/>
      <c r="B2086" s="230" t="s">
        <v>1035</v>
      </c>
      <c r="C2086" s="229">
        <v>0.1</v>
      </c>
      <c r="D2086" s="229">
        <v>0.1</v>
      </c>
      <c r="E2086" s="229">
        <v>0.1</v>
      </c>
      <c r="F2086" s="229"/>
      <c r="G2086" s="229"/>
      <c r="H2086" s="229"/>
      <c r="I2086" s="229"/>
      <c r="J2086" s="229"/>
      <c r="K2086" s="229"/>
      <c r="L2086" s="229"/>
      <c r="M2086" s="229"/>
      <c r="N2086" s="232"/>
    </row>
    <row r="2087" hidden="1" spans="1:14">
      <c r="A2087" s="235"/>
      <c r="B2087" s="230" t="s">
        <v>1038</v>
      </c>
      <c r="C2087" s="229">
        <v>0.03</v>
      </c>
      <c r="D2087" s="229">
        <v>0.03</v>
      </c>
      <c r="E2087" s="229">
        <v>0.03</v>
      </c>
      <c r="F2087" s="229"/>
      <c r="G2087" s="229"/>
      <c r="H2087" s="229"/>
      <c r="I2087" s="229"/>
      <c r="J2087" s="229"/>
      <c r="K2087" s="229"/>
      <c r="L2087" s="229"/>
      <c r="M2087" s="229"/>
      <c r="N2087" s="232"/>
    </row>
    <row r="2088" hidden="1" spans="1:14">
      <c r="A2088" s="235"/>
      <c r="B2088" s="230" t="s">
        <v>1039</v>
      </c>
      <c r="C2088" s="229">
        <v>0.909496</v>
      </c>
      <c r="D2088" s="229">
        <v>0.909496</v>
      </c>
      <c r="E2088" s="229">
        <v>0.909496</v>
      </c>
      <c r="F2088" s="229"/>
      <c r="G2088" s="229"/>
      <c r="H2088" s="229"/>
      <c r="I2088" s="229"/>
      <c r="J2088" s="229"/>
      <c r="K2088" s="229"/>
      <c r="L2088" s="229"/>
      <c r="M2088" s="229"/>
      <c r="N2088" s="232"/>
    </row>
    <row r="2089" hidden="1" spans="1:14">
      <c r="A2089" s="235"/>
      <c r="B2089" s="230" t="s">
        <v>1029</v>
      </c>
      <c r="C2089" s="229">
        <v>3.24</v>
      </c>
      <c r="D2089" s="229">
        <v>3.24</v>
      </c>
      <c r="E2089" s="229">
        <v>3.24</v>
      </c>
      <c r="F2089" s="229"/>
      <c r="G2089" s="229"/>
      <c r="H2089" s="229"/>
      <c r="I2089" s="229"/>
      <c r="J2089" s="229"/>
      <c r="K2089" s="229"/>
      <c r="L2089" s="229"/>
      <c r="M2089" s="229"/>
      <c r="N2089" s="232"/>
    </row>
    <row r="2090" hidden="1" spans="1:14">
      <c r="A2090" s="209">
        <v>808006</v>
      </c>
      <c r="B2090" s="231" t="s">
        <v>849</v>
      </c>
      <c r="C2090" s="229">
        <v>33.912123</v>
      </c>
      <c r="D2090" s="229">
        <v>33.912123</v>
      </c>
      <c r="E2090" s="229">
        <v>33.912123</v>
      </c>
      <c r="F2090" s="229"/>
      <c r="G2090" s="229"/>
      <c r="H2090" s="229"/>
      <c r="I2090" s="229"/>
      <c r="J2090" s="229"/>
      <c r="K2090" s="229"/>
      <c r="L2090" s="229"/>
      <c r="M2090" s="229"/>
      <c r="N2090" s="233"/>
    </row>
    <row r="2091" hidden="1" spans="1:14">
      <c r="A2091" s="235"/>
      <c r="B2091" s="230" t="s">
        <v>1032</v>
      </c>
      <c r="C2091" s="229">
        <v>22.988956</v>
      </c>
      <c r="D2091" s="229">
        <v>22.988956</v>
      </c>
      <c r="E2091" s="229">
        <v>22.988956</v>
      </c>
      <c r="F2091" s="229"/>
      <c r="G2091" s="229"/>
      <c r="H2091" s="229"/>
      <c r="I2091" s="229"/>
      <c r="J2091" s="229"/>
      <c r="K2091" s="229"/>
      <c r="L2091" s="229"/>
      <c r="M2091" s="229"/>
      <c r="N2091" s="232"/>
    </row>
    <row r="2092" hidden="1" spans="1:14">
      <c r="A2092" s="235"/>
      <c r="B2092" s="230" t="s">
        <v>1039</v>
      </c>
      <c r="C2092" s="229">
        <v>0.459779</v>
      </c>
      <c r="D2092" s="229">
        <v>0.459779</v>
      </c>
      <c r="E2092" s="229">
        <v>0.459779</v>
      </c>
      <c r="F2092" s="229"/>
      <c r="G2092" s="229"/>
      <c r="H2092" s="229"/>
      <c r="I2092" s="229"/>
      <c r="J2092" s="229"/>
      <c r="K2092" s="229"/>
      <c r="L2092" s="229"/>
      <c r="M2092" s="229"/>
      <c r="N2092" s="232"/>
    </row>
    <row r="2093" hidden="1" spans="1:14">
      <c r="A2093" s="235"/>
      <c r="B2093" s="230" t="s">
        <v>1036</v>
      </c>
      <c r="C2093" s="229">
        <v>2.758675</v>
      </c>
      <c r="D2093" s="229">
        <v>2.758675</v>
      </c>
      <c r="E2093" s="229">
        <v>2.758675</v>
      </c>
      <c r="F2093" s="229"/>
      <c r="G2093" s="229"/>
      <c r="H2093" s="229"/>
      <c r="I2093" s="229"/>
      <c r="J2093" s="229"/>
      <c r="K2093" s="229"/>
      <c r="L2093" s="229"/>
      <c r="M2093" s="229"/>
      <c r="N2093" s="232"/>
    </row>
    <row r="2094" hidden="1" spans="1:14">
      <c r="A2094" s="235"/>
      <c r="B2094" s="230" t="s">
        <v>1029</v>
      </c>
      <c r="C2094" s="229">
        <v>1.62</v>
      </c>
      <c r="D2094" s="229">
        <v>1.62</v>
      </c>
      <c r="E2094" s="229">
        <v>1.62</v>
      </c>
      <c r="F2094" s="229"/>
      <c r="G2094" s="229"/>
      <c r="H2094" s="229"/>
      <c r="I2094" s="229"/>
      <c r="J2094" s="229"/>
      <c r="K2094" s="229"/>
      <c r="L2094" s="229"/>
      <c r="M2094" s="229"/>
      <c r="N2094" s="232"/>
    </row>
    <row r="2095" hidden="1" spans="1:14">
      <c r="A2095" s="235"/>
      <c r="B2095" s="230" t="s">
        <v>1033</v>
      </c>
      <c r="C2095" s="229">
        <v>6.084713</v>
      </c>
      <c r="D2095" s="229">
        <v>6.084713</v>
      </c>
      <c r="E2095" s="229">
        <v>6.084713</v>
      </c>
      <c r="F2095" s="229"/>
      <c r="G2095" s="229"/>
      <c r="H2095" s="229"/>
      <c r="I2095" s="229"/>
      <c r="J2095" s="229"/>
      <c r="K2095" s="229"/>
      <c r="L2095" s="229"/>
      <c r="M2095" s="229"/>
      <c r="N2095" s="232"/>
    </row>
    <row r="2096" hidden="1" spans="1:14">
      <c r="A2096" s="209">
        <v>809001</v>
      </c>
      <c r="B2096" s="231" t="s">
        <v>852</v>
      </c>
      <c r="C2096" s="229">
        <v>833.237894</v>
      </c>
      <c r="D2096" s="229">
        <v>833.237894</v>
      </c>
      <c r="E2096" s="229">
        <v>833.237894</v>
      </c>
      <c r="F2096" s="229"/>
      <c r="G2096" s="229"/>
      <c r="H2096" s="229"/>
      <c r="I2096" s="229"/>
      <c r="J2096" s="229"/>
      <c r="K2096" s="229"/>
      <c r="L2096" s="229"/>
      <c r="M2096" s="229"/>
      <c r="N2096" s="233"/>
    </row>
    <row r="2097" hidden="1" spans="1:14">
      <c r="A2097" s="235"/>
      <c r="B2097" s="230" t="s">
        <v>1031</v>
      </c>
      <c r="C2097" s="229">
        <v>23.088</v>
      </c>
      <c r="D2097" s="229">
        <v>23.088</v>
      </c>
      <c r="E2097" s="229">
        <v>23.088</v>
      </c>
      <c r="F2097" s="229"/>
      <c r="G2097" s="229"/>
      <c r="H2097" s="229"/>
      <c r="I2097" s="229"/>
      <c r="J2097" s="229"/>
      <c r="K2097" s="229"/>
      <c r="L2097" s="229"/>
      <c r="M2097" s="229"/>
      <c r="N2097" s="232"/>
    </row>
    <row r="2098" hidden="1" spans="1:14">
      <c r="A2098" s="235"/>
      <c r="B2098" s="230" t="s">
        <v>1039</v>
      </c>
      <c r="C2098" s="229">
        <v>9.32809</v>
      </c>
      <c r="D2098" s="229">
        <v>9.32809</v>
      </c>
      <c r="E2098" s="229">
        <v>9.32809</v>
      </c>
      <c r="F2098" s="229"/>
      <c r="G2098" s="229"/>
      <c r="H2098" s="229"/>
      <c r="I2098" s="229"/>
      <c r="J2098" s="229"/>
      <c r="K2098" s="229"/>
      <c r="L2098" s="229"/>
      <c r="M2098" s="229"/>
      <c r="N2098" s="232"/>
    </row>
    <row r="2099" hidden="1" spans="1:14">
      <c r="A2099" s="235"/>
      <c r="B2099" s="230" t="s">
        <v>1034</v>
      </c>
      <c r="C2099" s="229">
        <v>6.084</v>
      </c>
      <c r="D2099" s="229">
        <v>6.084</v>
      </c>
      <c r="E2099" s="229">
        <v>6.084</v>
      </c>
      <c r="F2099" s="229"/>
      <c r="G2099" s="229"/>
      <c r="H2099" s="229"/>
      <c r="I2099" s="229"/>
      <c r="J2099" s="229"/>
      <c r="K2099" s="229"/>
      <c r="L2099" s="229"/>
      <c r="M2099" s="229"/>
      <c r="N2099" s="232"/>
    </row>
    <row r="2100" hidden="1" spans="1:14">
      <c r="A2100" s="235"/>
      <c r="B2100" s="230" t="s">
        <v>1032</v>
      </c>
      <c r="C2100" s="229">
        <v>466.40452</v>
      </c>
      <c r="D2100" s="229">
        <v>466.40452</v>
      </c>
      <c r="E2100" s="229">
        <v>466.40452</v>
      </c>
      <c r="F2100" s="229"/>
      <c r="G2100" s="229"/>
      <c r="H2100" s="229"/>
      <c r="I2100" s="229"/>
      <c r="J2100" s="229"/>
      <c r="K2100" s="229"/>
      <c r="L2100" s="229"/>
      <c r="M2100" s="229"/>
      <c r="N2100" s="232"/>
    </row>
    <row r="2101" hidden="1" spans="1:14">
      <c r="A2101" s="235"/>
      <c r="B2101" s="230" t="s">
        <v>1037</v>
      </c>
      <c r="C2101" s="229">
        <v>1.71333</v>
      </c>
      <c r="D2101" s="229">
        <v>1.71333</v>
      </c>
      <c r="E2101" s="229">
        <v>1.71333</v>
      </c>
      <c r="F2101" s="229"/>
      <c r="G2101" s="229"/>
      <c r="H2101" s="229"/>
      <c r="I2101" s="229"/>
      <c r="J2101" s="229"/>
      <c r="K2101" s="229"/>
      <c r="L2101" s="229"/>
      <c r="M2101" s="229"/>
      <c r="N2101" s="232"/>
    </row>
    <row r="2102" hidden="1" spans="1:14">
      <c r="A2102" s="235"/>
      <c r="B2102" s="230" t="s">
        <v>1036</v>
      </c>
      <c r="C2102" s="229">
        <v>55.968542</v>
      </c>
      <c r="D2102" s="229">
        <v>55.968542</v>
      </c>
      <c r="E2102" s="229">
        <v>55.968542</v>
      </c>
      <c r="F2102" s="229"/>
      <c r="G2102" s="229"/>
      <c r="H2102" s="229"/>
      <c r="I2102" s="229"/>
      <c r="J2102" s="229"/>
      <c r="K2102" s="229"/>
      <c r="L2102" s="229"/>
      <c r="M2102" s="229"/>
      <c r="N2102" s="232"/>
    </row>
    <row r="2103" hidden="1" spans="1:14">
      <c r="A2103" s="235"/>
      <c r="B2103" s="230" t="s">
        <v>1035</v>
      </c>
      <c r="C2103" s="229">
        <v>2.3</v>
      </c>
      <c r="D2103" s="229">
        <v>2.3</v>
      </c>
      <c r="E2103" s="229">
        <v>2.3</v>
      </c>
      <c r="F2103" s="229"/>
      <c r="G2103" s="229"/>
      <c r="H2103" s="229"/>
      <c r="I2103" s="229"/>
      <c r="J2103" s="229"/>
      <c r="K2103" s="229"/>
      <c r="L2103" s="229"/>
      <c r="M2103" s="229"/>
      <c r="N2103" s="232"/>
    </row>
    <row r="2104" hidden="1" spans="1:14">
      <c r="A2104" s="235"/>
      <c r="B2104" s="230" t="s">
        <v>1029</v>
      </c>
      <c r="C2104" s="229">
        <v>56.525</v>
      </c>
      <c r="D2104" s="229">
        <v>56.525</v>
      </c>
      <c r="E2104" s="229">
        <v>56.525</v>
      </c>
      <c r="F2104" s="229"/>
      <c r="G2104" s="229"/>
      <c r="H2104" s="229"/>
      <c r="I2104" s="229"/>
      <c r="J2104" s="229"/>
      <c r="K2104" s="229"/>
      <c r="L2104" s="229"/>
      <c r="M2104" s="229"/>
      <c r="N2104" s="232"/>
    </row>
    <row r="2105" hidden="1" spans="1:14">
      <c r="A2105" s="235"/>
      <c r="B2105" s="230" t="s">
        <v>1028</v>
      </c>
      <c r="C2105" s="229">
        <v>68.5332</v>
      </c>
      <c r="D2105" s="229">
        <v>68.5332</v>
      </c>
      <c r="E2105" s="229">
        <v>68.5332</v>
      </c>
      <c r="F2105" s="229"/>
      <c r="G2105" s="229"/>
      <c r="H2105" s="229"/>
      <c r="I2105" s="229"/>
      <c r="J2105" s="229"/>
      <c r="K2105" s="229"/>
      <c r="L2105" s="229"/>
      <c r="M2105" s="229"/>
      <c r="N2105" s="232"/>
    </row>
    <row r="2106" hidden="1" spans="1:14">
      <c r="A2106" s="235"/>
      <c r="B2106" s="230" t="s">
        <v>1030</v>
      </c>
      <c r="C2106" s="229">
        <v>8</v>
      </c>
      <c r="D2106" s="229">
        <v>8</v>
      </c>
      <c r="E2106" s="229">
        <v>8</v>
      </c>
      <c r="F2106" s="229"/>
      <c r="G2106" s="229"/>
      <c r="H2106" s="229"/>
      <c r="I2106" s="229"/>
      <c r="J2106" s="229"/>
      <c r="K2106" s="229"/>
      <c r="L2106" s="229"/>
      <c r="M2106" s="229"/>
      <c r="N2106" s="232"/>
    </row>
    <row r="2107" hidden="1" spans="1:14">
      <c r="A2107" s="235"/>
      <c r="B2107" s="230" t="s">
        <v>1038</v>
      </c>
      <c r="C2107" s="229">
        <v>0.54</v>
      </c>
      <c r="D2107" s="229">
        <v>0.54</v>
      </c>
      <c r="E2107" s="229">
        <v>0.54</v>
      </c>
      <c r="F2107" s="229"/>
      <c r="G2107" s="229"/>
      <c r="H2107" s="229"/>
      <c r="I2107" s="229"/>
      <c r="J2107" s="229"/>
      <c r="K2107" s="229"/>
      <c r="L2107" s="229"/>
      <c r="M2107" s="229"/>
      <c r="N2107" s="232"/>
    </row>
    <row r="2108" hidden="1" spans="1:14">
      <c r="A2108" s="235"/>
      <c r="B2108" s="230" t="s">
        <v>1033</v>
      </c>
      <c r="C2108" s="229">
        <v>134.753212</v>
      </c>
      <c r="D2108" s="229">
        <v>134.753212</v>
      </c>
      <c r="E2108" s="229">
        <v>134.753212</v>
      </c>
      <c r="F2108" s="229"/>
      <c r="G2108" s="229"/>
      <c r="H2108" s="229"/>
      <c r="I2108" s="229"/>
      <c r="J2108" s="229"/>
      <c r="K2108" s="229"/>
      <c r="L2108" s="229"/>
      <c r="M2108" s="229"/>
      <c r="N2108" s="232"/>
    </row>
    <row r="2109" hidden="1" spans="1:14">
      <c r="A2109" s="209">
        <v>809002</v>
      </c>
      <c r="B2109" s="230" t="s">
        <v>854</v>
      </c>
      <c r="C2109" s="229">
        <v>246.65145</v>
      </c>
      <c r="D2109" s="229">
        <v>246.65145</v>
      </c>
      <c r="E2109" s="229">
        <v>246.65145</v>
      </c>
      <c r="F2109" s="229"/>
      <c r="G2109" s="229"/>
      <c r="H2109" s="229"/>
      <c r="I2109" s="229"/>
      <c r="J2109" s="229"/>
      <c r="K2109" s="229"/>
      <c r="L2109" s="229"/>
      <c r="M2109" s="229"/>
      <c r="N2109" s="233"/>
    </row>
    <row r="2110" hidden="1" spans="1:14">
      <c r="A2110" s="235"/>
      <c r="B2110" s="230" t="s">
        <v>1028</v>
      </c>
      <c r="C2110" s="229">
        <v>23.52</v>
      </c>
      <c r="D2110" s="229">
        <v>23.52</v>
      </c>
      <c r="E2110" s="229">
        <v>23.52</v>
      </c>
      <c r="F2110" s="229"/>
      <c r="G2110" s="229"/>
      <c r="H2110" s="229"/>
      <c r="I2110" s="229"/>
      <c r="J2110" s="229"/>
      <c r="K2110" s="229"/>
      <c r="L2110" s="229"/>
      <c r="M2110" s="229"/>
      <c r="N2110" s="232"/>
    </row>
    <row r="2111" hidden="1" spans="1:14">
      <c r="A2111" s="235"/>
      <c r="B2111" s="230" t="s">
        <v>1033</v>
      </c>
      <c r="C2111" s="229">
        <v>43.518242</v>
      </c>
      <c r="D2111" s="229">
        <v>43.518242</v>
      </c>
      <c r="E2111" s="229">
        <v>43.518242</v>
      </c>
      <c r="F2111" s="229"/>
      <c r="G2111" s="229"/>
      <c r="H2111" s="229"/>
      <c r="I2111" s="229"/>
      <c r="J2111" s="229"/>
      <c r="K2111" s="229"/>
      <c r="L2111" s="229"/>
      <c r="M2111" s="229"/>
      <c r="N2111" s="232"/>
    </row>
    <row r="2112" hidden="1" spans="1:14">
      <c r="A2112" s="235"/>
      <c r="B2112" s="230" t="s">
        <v>1032</v>
      </c>
      <c r="C2112" s="229">
        <v>146.0822</v>
      </c>
      <c r="D2112" s="229">
        <v>146.0822</v>
      </c>
      <c r="E2112" s="229">
        <v>146.0822</v>
      </c>
      <c r="F2112" s="229"/>
      <c r="G2112" s="229"/>
      <c r="H2112" s="229"/>
      <c r="I2112" s="229"/>
      <c r="J2112" s="229"/>
      <c r="K2112" s="229"/>
      <c r="L2112" s="229"/>
      <c r="M2112" s="229"/>
      <c r="N2112" s="232"/>
    </row>
    <row r="2113" hidden="1" spans="1:14">
      <c r="A2113" s="235"/>
      <c r="B2113" s="230" t="s">
        <v>1039</v>
      </c>
      <c r="C2113" s="229">
        <v>2.921644</v>
      </c>
      <c r="D2113" s="229">
        <v>2.921644</v>
      </c>
      <c r="E2113" s="229">
        <v>2.921644</v>
      </c>
      <c r="F2113" s="229"/>
      <c r="G2113" s="229"/>
      <c r="H2113" s="229"/>
      <c r="I2113" s="229"/>
      <c r="J2113" s="229"/>
      <c r="K2113" s="229"/>
      <c r="L2113" s="229"/>
      <c r="M2113" s="229"/>
      <c r="N2113" s="232"/>
    </row>
    <row r="2114" hidden="1" spans="1:14">
      <c r="A2114" s="235"/>
      <c r="B2114" s="230" t="s">
        <v>1038</v>
      </c>
      <c r="C2114" s="229">
        <v>0.18</v>
      </c>
      <c r="D2114" s="229">
        <v>0.18</v>
      </c>
      <c r="E2114" s="229">
        <v>0.18</v>
      </c>
      <c r="F2114" s="229"/>
      <c r="G2114" s="229"/>
      <c r="H2114" s="229"/>
      <c r="I2114" s="229"/>
      <c r="J2114" s="229"/>
      <c r="K2114" s="229"/>
      <c r="L2114" s="229"/>
      <c r="M2114" s="229"/>
      <c r="N2114" s="232"/>
    </row>
    <row r="2115" hidden="1" spans="1:14">
      <c r="A2115" s="235"/>
      <c r="B2115" s="230" t="s">
        <v>1029</v>
      </c>
      <c r="C2115" s="229">
        <v>10.4975</v>
      </c>
      <c r="D2115" s="229">
        <v>10.4975</v>
      </c>
      <c r="E2115" s="229">
        <v>10.4975</v>
      </c>
      <c r="F2115" s="229"/>
      <c r="G2115" s="229"/>
      <c r="H2115" s="229"/>
      <c r="I2115" s="229"/>
      <c r="J2115" s="229"/>
      <c r="K2115" s="229"/>
      <c r="L2115" s="229"/>
      <c r="M2115" s="229"/>
      <c r="N2115" s="232"/>
    </row>
    <row r="2116" hidden="1" spans="1:14">
      <c r="A2116" s="235"/>
      <c r="B2116" s="230" t="s">
        <v>1037</v>
      </c>
      <c r="C2116" s="229">
        <v>0.588</v>
      </c>
      <c r="D2116" s="229">
        <v>0.588</v>
      </c>
      <c r="E2116" s="229">
        <v>0.588</v>
      </c>
      <c r="F2116" s="229"/>
      <c r="G2116" s="229"/>
      <c r="H2116" s="229"/>
      <c r="I2116" s="229"/>
      <c r="J2116" s="229"/>
      <c r="K2116" s="229"/>
      <c r="L2116" s="229"/>
      <c r="M2116" s="229"/>
      <c r="N2116" s="232"/>
    </row>
    <row r="2117" hidden="1" spans="1:14">
      <c r="A2117" s="235"/>
      <c r="B2117" s="230" t="s">
        <v>1036</v>
      </c>
      <c r="C2117" s="229">
        <v>17.529864</v>
      </c>
      <c r="D2117" s="229">
        <v>17.529864</v>
      </c>
      <c r="E2117" s="229">
        <v>17.529864</v>
      </c>
      <c r="F2117" s="229"/>
      <c r="G2117" s="229"/>
      <c r="H2117" s="229"/>
      <c r="I2117" s="229"/>
      <c r="J2117" s="229"/>
      <c r="K2117" s="229"/>
      <c r="L2117" s="229"/>
      <c r="M2117" s="229"/>
      <c r="N2117" s="232"/>
    </row>
    <row r="2118" hidden="1" spans="1:14">
      <c r="A2118" s="235"/>
      <c r="B2118" s="230" t="s">
        <v>1035</v>
      </c>
      <c r="C2118" s="229">
        <v>0.8</v>
      </c>
      <c r="D2118" s="229">
        <v>0.8</v>
      </c>
      <c r="E2118" s="229">
        <v>0.8</v>
      </c>
      <c r="F2118" s="229"/>
      <c r="G2118" s="229"/>
      <c r="H2118" s="229"/>
      <c r="I2118" s="229"/>
      <c r="J2118" s="229"/>
      <c r="K2118" s="229"/>
      <c r="L2118" s="229"/>
      <c r="M2118" s="229"/>
      <c r="N2118" s="232"/>
    </row>
    <row r="2119" hidden="1" spans="1:14">
      <c r="A2119" s="235"/>
      <c r="B2119" s="230" t="s">
        <v>1034</v>
      </c>
      <c r="C2119" s="229">
        <v>1.014</v>
      </c>
      <c r="D2119" s="229">
        <v>1.014</v>
      </c>
      <c r="E2119" s="229">
        <v>1.014</v>
      </c>
      <c r="F2119" s="229"/>
      <c r="G2119" s="229"/>
      <c r="H2119" s="229"/>
      <c r="I2119" s="229"/>
      <c r="J2119" s="229"/>
      <c r="K2119" s="229"/>
      <c r="L2119" s="229"/>
      <c r="M2119" s="229"/>
      <c r="N2119" s="232"/>
    </row>
    <row r="2120" hidden="1" spans="1:14">
      <c r="A2120" s="209">
        <v>809003</v>
      </c>
      <c r="B2120" s="231" t="s">
        <v>1157</v>
      </c>
      <c r="C2120" s="229">
        <v>15.906661</v>
      </c>
      <c r="D2120" s="229">
        <v>15.906661</v>
      </c>
      <c r="E2120" s="229">
        <v>15.906661</v>
      </c>
      <c r="F2120" s="229"/>
      <c r="G2120" s="229"/>
      <c r="H2120" s="229"/>
      <c r="I2120" s="229"/>
      <c r="J2120" s="229"/>
      <c r="K2120" s="229"/>
      <c r="L2120" s="229"/>
      <c r="M2120" s="229"/>
      <c r="N2120" s="233"/>
    </row>
    <row r="2121" hidden="1" spans="1:14">
      <c r="A2121" s="235"/>
      <c r="B2121" s="230" t="s">
        <v>1036</v>
      </c>
      <c r="C2121" s="229">
        <v>1.289544</v>
      </c>
      <c r="D2121" s="229">
        <v>1.289544</v>
      </c>
      <c r="E2121" s="229">
        <v>1.289544</v>
      </c>
      <c r="F2121" s="229"/>
      <c r="G2121" s="229"/>
      <c r="H2121" s="229"/>
      <c r="I2121" s="229"/>
      <c r="J2121" s="229"/>
      <c r="K2121" s="229"/>
      <c r="L2121" s="229"/>
      <c r="M2121" s="229"/>
      <c r="N2121" s="232"/>
    </row>
    <row r="2122" hidden="1" spans="1:14">
      <c r="A2122" s="235"/>
      <c r="B2122" s="230" t="s">
        <v>1029</v>
      </c>
      <c r="C2122" s="229">
        <v>0.8075</v>
      </c>
      <c r="D2122" s="229">
        <v>0.8075</v>
      </c>
      <c r="E2122" s="229">
        <v>0.8075</v>
      </c>
      <c r="F2122" s="229"/>
      <c r="G2122" s="229"/>
      <c r="H2122" s="229"/>
      <c r="I2122" s="229"/>
      <c r="J2122" s="229"/>
      <c r="K2122" s="229"/>
      <c r="L2122" s="229"/>
      <c r="M2122" s="229"/>
      <c r="N2122" s="232"/>
    </row>
    <row r="2123" hidden="1" spans="1:14">
      <c r="A2123" s="235"/>
      <c r="B2123" s="230" t="s">
        <v>1039</v>
      </c>
      <c r="C2123" s="229">
        <v>0.214924</v>
      </c>
      <c r="D2123" s="229">
        <v>0.214924</v>
      </c>
      <c r="E2123" s="229">
        <v>0.214924</v>
      </c>
      <c r="F2123" s="229"/>
      <c r="G2123" s="229"/>
      <c r="H2123" s="229"/>
      <c r="I2123" s="229"/>
      <c r="J2123" s="229"/>
      <c r="K2123" s="229"/>
      <c r="L2123" s="229"/>
      <c r="M2123" s="229"/>
      <c r="N2123" s="232"/>
    </row>
    <row r="2124" hidden="1" spans="1:14">
      <c r="A2124" s="235"/>
      <c r="B2124" s="230" t="s">
        <v>1033</v>
      </c>
      <c r="C2124" s="229">
        <v>2.848493</v>
      </c>
      <c r="D2124" s="229">
        <v>2.848493</v>
      </c>
      <c r="E2124" s="229">
        <v>2.848493</v>
      </c>
      <c r="F2124" s="229"/>
      <c r="G2124" s="229"/>
      <c r="H2124" s="229"/>
      <c r="I2124" s="229"/>
      <c r="J2124" s="229"/>
      <c r="K2124" s="229"/>
      <c r="L2124" s="229"/>
      <c r="M2124" s="229"/>
      <c r="N2124" s="232"/>
    </row>
    <row r="2125" hidden="1" spans="1:14">
      <c r="A2125" s="235"/>
      <c r="B2125" s="230" t="s">
        <v>1032</v>
      </c>
      <c r="C2125" s="229">
        <v>10.7462</v>
      </c>
      <c r="D2125" s="229">
        <v>10.7462</v>
      </c>
      <c r="E2125" s="229">
        <v>10.7462</v>
      </c>
      <c r="F2125" s="229"/>
      <c r="G2125" s="229"/>
      <c r="H2125" s="229"/>
      <c r="I2125" s="229"/>
      <c r="J2125" s="229"/>
      <c r="K2125" s="229"/>
      <c r="L2125" s="229"/>
      <c r="M2125" s="229"/>
      <c r="N2125" s="232"/>
    </row>
    <row r="2126" hidden="1" spans="1:14">
      <c r="A2126" s="209">
        <v>809004</v>
      </c>
      <c r="B2126" s="230" t="s">
        <v>858</v>
      </c>
      <c r="C2126" s="229">
        <v>33.878354</v>
      </c>
      <c r="D2126" s="229">
        <v>33.878354</v>
      </c>
      <c r="E2126" s="229">
        <v>33.878354</v>
      </c>
      <c r="F2126" s="229"/>
      <c r="G2126" s="229"/>
      <c r="H2126" s="229"/>
      <c r="I2126" s="229"/>
      <c r="J2126" s="229"/>
      <c r="K2126" s="229"/>
      <c r="L2126" s="229"/>
      <c r="M2126" s="229"/>
      <c r="N2126" s="233"/>
    </row>
    <row r="2127" hidden="1" spans="1:14">
      <c r="A2127" s="235"/>
      <c r="B2127" s="230" t="s">
        <v>1036</v>
      </c>
      <c r="C2127" s="229">
        <v>2.754048</v>
      </c>
      <c r="D2127" s="229">
        <v>2.754048</v>
      </c>
      <c r="E2127" s="229">
        <v>2.754048</v>
      </c>
      <c r="F2127" s="229"/>
      <c r="G2127" s="229"/>
      <c r="H2127" s="229"/>
      <c r="I2127" s="229"/>
      <c r="J2127" s="229"/>
      <c r="K2127" s="229"/>
      <c r="L2127" s="229"/>
      <c r="M2127" s="229"/>
      <c r="N2127" s="232"/>
    </row>
    <row r="2128" hidden="1" spans="1:14">
      <c r="A2128" s="235"/>
      <c r="B2128" s="230" t="s">
        <v>1029</v>
      </c>
      <c r="C2128" s="229">
        <v>1.615</v>
      </c>
      <c r="D2128" s="229">
        <v>1.615</v>
      </c>
      <c r="E2128" s="229">
        <v>1.615</v>
      </c>
      <c r="F2128" s="229"/>
      <c r="G2128" s="229"/>
      <c r="H2128" s="229"/>
      <c r="I2128" s="229"/>
      <c r="J2128" s="229"/>
      <c r="K2128" s="229"/>
      <c r="L2128" s="229"/>
      <c r="M2128" s="229"/>
      <c r="N2128" s="232"/>
    </row>
    <row r="2129" hidden="1" spans="1:14">
      <c r="A2129" s="235"/>
      <c r="B2129" s="230" t="s">
        <v>1032</v>
      </c>
      <c r="C2129" s="229">
        <v>22.9504</v>
      </c>
      <c r="D2129" s="229">
        <v>22.9504</v>
      </c>
      <c r="E2129" s="229">
        <v>22.9504</v>
      </c>
      <c r="F2129" s="229"/>
      <c r="G2129" s="229"/>
      <c r="H2129" s="229"/>
      <c r="I2129" s="229"/>
      <c r="J2129" s="229"/>
      <c r="K2129" s="229"/>
      <c r="L2129" s="229"/>
      <c r="M2129" s="229"/>
      <c r="N2129" s="232"/>
    </row>
    <row r="2130" hidden="1" spans="1:14">
      <c r="A2130" s="235"/>
      <c r="B2130" s="230" t="s">
        <v>1033</v>
      </c>
      <c r="C2130" s="229">
        <v>6.099898</v>
      </c>
      <c r="D2130" s="229">
        <v>6.099898</v>
      </c>
      <c r="E2130" s="229">
        <v>6.099898</v>
      </c>
      <c r="F2130" s="229"/>
      <c r="G2130" s="229"/>
      <c r="H2130" s="229"/>
      <c r="I2130" s="229"/>
      <c r="J2130" s="229"/>
      <c r="K2130" s="229"/>
      <c r="L2130" s="229"/>
      <c r="M2130" s="229"/>
      <c r="N2130" s="232"/>
    </row>
    <row r="2131" hidden="1" spans="1:14">
      <c r="A2131" s="235"/>
      <c r="B2131" s="230" t="s">
        <v>1039</v>
      </c>
      <c r="C2131" s="229">
        <v>0.459008</v>
      </c>
      <c r="D2131" s="229">
        <v>0.459008</v>
      </c>
      <c r="E2131" s="229">
        <v>0.459008</v>
      </c>
      <c r="F2131" s="229"/>
      <c r="G2131" s="229"/>
      <c r="H2131" s="229"/>
      <c r="I2131" s="229"/>
      <c r="J2131" s="229"/>
      <c r="K2131" s="229"/>
      <c r="L2131" s="229"/>
      <c r="M2131" s="229"/>
      <c r="N2131" s="232"/>
    </row>
    <row r="2132" hidden="1" spans="1:14">
      <c r="A2132" s="209">
        <v>809005</v>
      </c>
      <c r="B2132" s="231" t="s">
        <v>860</v>
      </c>
      <c r="C2132" s="229">
        <v>33.533517</v>
      </c>
      <c r="D2132" s="229">
        <v>33.533517</v>
      </c>
      <c r="E2132" s="229">
        <v>33.533517</v>
      </c>
      <c r="F2132" s="229"/>
      <c r="G2132" s="229"/>
      <c r="H2132" s="229"/>
      <c r="I2132" s="229"/>
      <c r="J2132" s="229"/>
      <c r="K2132" s="229"/>
      <c r="L2132" s="229"/>
      <c r="M2132" s="229"/>
      <c r="N2132" s="233"/>
    </row>
    <row r="2133" hidden="1" spans="1:14">
      <c r="A2133" s="235"/>
      <c r="B2133" s="230" t="s">
        <v>1033</v>
      </c>
      <c r="C2133" s="229">
        <v>6.030029</v>
      </c>
      <c r="D2133" s="229">
        <v>6.030029</v>
      </c>
      <c r="E2133" s="229">
        <v>6.030029</v>
      </c>
      <c r="F2133" s="229"/>
      <c r="G2133" s="229"/>
      <c r="H2133" s="229"/>
      <c r="I2133" s="229"/>
      <c r="J2133" s="229"/>
      <c r="K2133" s="229"/>
      <c r="L2133" s="229"/>
      <c r="M2133" s="229"/>
      <c r="N2133" s="232"/>
    </row>
    <row r="2134" hidden="1" spans="1:14">
      <c r="A2134" s="235"/>
      <c r="B2134" s="230" t="s">
        <v>1036</v>
      </c>
      <c r="C2134" s="229">
        <v>2.725104</v>
      </c>
      <c r="D2134" s="229">
        <v>2.725104</v>
      </c>
      <c r="E2134" s="229">
        <v>2.725104</v>
      </c>
      <c r="F2134" s="229"/>
      <c r="G2134" s="229"/>
      <c r="H2134" s="229"/>
      <c r="I2134" s="229"/>
      <c r="J2134" s="229"/>
      <c r="K2134" s="229"/>
      <c r="L2134" s="229"/>
      <c r="M2134" s="229"/>
      <c r="N2134" s="232"/>
    </row>
    <row r="2135" hidden="1" spans="1:14">
      <c r="A2135" s="235"/>
      <c r="B2135" s="230" t="s">
        <v>1029</v>
      </c>
      <c r="C2135" s="229">
        <v>1.615</v>
      </c>
      <c r="D2135" s="229">
        <v>1.615</v>
      </c>
      <c r="E2135" s="229">
        <v>1.615</v>
      </c>
      <c r="F2135" s="229"/>
      <c r="G2135" s="229"/>
      <c r="H2135" s="229"/>
      <c r="I2135" s="229"/>
      <c r="J2135" s="229"/>
      <c r="K2135" s="229"/>
      <c r="L2135" s="229"/>
      <c r="M2135" s="229"/>
      <c r="N2135" s="232"/>
    </row>
    <row r="2136" hidden="1" spans="1:14">
      <c r="A2136" s="235"/>
      <c r="B2136" s="230" t="s">
        <v>1032</v>
      </c>
      <c r="C2136" s="229">
        <v>22.7092</v>
      </c>
      <c r="D2136" s="229">
        <v>22.7092</v>
      </c>
      <c r="E2136" s="229">
        <v>22.7092</v>
      </c>
      <c r="F2136" s="229"/>
      <c r="G2136" s="229"/>
      <c r="H2136" s="229"/>
      <c r="I2136" s="229"/>
      <c r="J2136" s="229"/>
      <c r="K2136" s="229"/>
      <c r="L2136" s="229"/>
      <c r="M2136" s="229"/>
      <c r="N2136" s="232"/>
    </row>
    <row r="2137" hidden="1" spans="1:14">
      <c r="A2137" s="235"/>
      <c r="B2137" s="230" t="s">
        <v>1039</v>
      </c>
      <c r="C2137" s="229">
        <v>0.454184</v>
      </c>
      <c r="D2137" s="229">
        <v>0.454184</v>
      </c>
      <c r="E2137" s="229">
        <v>0.454184</v>
      </c>
      <c r="F2137" s="229"/>
      <c r="G2137" s="229"/>
      <c r="H2137" s="229"/>
      <c r="I2137" s="229"/>
      <c r="J2137" s="229"/>
      <c r="K2137" s="229"/>
      <c r="L2137" s="229"/>
      <c r="M2137" s="229"/>
      <c r="N2137" s="232"/>
    </row>
    <row r="2138" hidden="1" spans="1:14">
      <c r="A2138" s="209">
        <v>810001</v>
      </c>
      <c r="B2138" s="231" t="s">
        <v>863</v>
      </c>
      <c r="C2138" s="229">
        <v>1273.207093</v>
      </c>
      <c r="D2138" s="229">
        <v>1273.207093</v>
      </c>
      <c r="E2138" s="229">
        <v>1273.207093</v>
      </c>
      <c r="F2138" s="229"/>
      <c r="G2138" s="229"/>
      <c r="H2138" s="229"/>
      <c r="I2138" s="229"/>
      <c r="J2138" s="229"/>
      <c r="K2138" s="229"/>
      <c r="L2138" s="229"/>
      <c r="M2138" s="229"/>
      <c r="N2138" s="233"/>
    </row>
    <row r="2139" hidden="1" spans="1:14">
      <c r="A2139" s="235"/>
      <c r="B2139" s="230" t="s">
        <v>1034</v>
      </c>
      <c r="C2139" s="229">
        <v>12.168</v>
      </c>
      <c r="D2139" s="229">
        <v>12.168</v>
      </c>
      <c r="E2139" s="229">
        <v>12.168</v>
      </c>
      <c r="F2139" s="229"/>
      <c r="G2139" s="229"/>
      <c r="H2139" s="229"/>
      <c r="I2139" s="229"/>
      <c r="J2139" s="229"/>
      <c r="K2139" s="229"/>
      <c r="L2139" s="229"/>
      <c r="M2139" s="229"/>
      <c r="N2139" s="232"/>
    </row>
    <row r="2140" hidden="1" spans="1:14">
      <c r="A2140" s="235"/>
      <c r="B2140" s="230" t="s">
        <v>1029</v>
      </c>
      <c r="C2140" s="229">
        <v>87.48</v>
      </c>
      <c r="D2140" s="229">
        <v>87.48</v>
      </c>
      <c r="E2140" s="229">
        <v>87.48</v>
      </c>
      <c r="F2140" s="229"/>
      <c r="G2140" s="229"/>
      <c r="H2140" s="229"/>
      <c r="I2140" s="229"/>
      <c r="J2140" s="229"/>
      <c r="K2140" s="229"/>
      <c r="L2140" s="229"/>
      <c r="M2140" s="229"/>
      <c r="N2140" s="232"/>
    </row>
    <row r="2141" hidden="1" spans="1:14">
      <c r="A2141" s="235"/>
      <c r="B2141" s="230" t="s">
        <v>1037</v>
      </c>
      <c r="C2141" s="229">
        <v>3.52803</v>
      </c>
      <c r="D2141" s="229">
        <v>3.52803</v>
      </c>
      <c r="E2141" s="229">
        <v>3.52803</v>
      </c>
      <c r="F2141" s="229"/>
      <c r="G2141" s="229"/>
      <c r="H2141" s="229"/>
      <c r="I2141" s="229"/>
      <c r="J2141" s="229"/>
      <c r="K2141" s="229"/>
      <c r="L2141" s="229"/>
      <c r="M2141" s="229"/>
      <c r="N2141" s="232"/>
    </row>
    <row r="2142" hidden="1" spans="1:14">
      <c r="A2142" s="235"/>
      <c r="B2142" s="230" t="s">
        <v>1033</v>
      </c>
      <c r="C2142" s="229">
        <v>206.108121</v>
      </c>
      <c r="D2142" s="229">
        <v>206.108121</v>
      </c>
      <c r="E2142" s="229">
        <v>206.108121</v>
      </c>
      <c r="F2142" s="229"/>
      <c r="G2142" s="229"/>
      <c r="H2142" s="229"/>
      <c r="I2142" s="229"/>
      <c r="J2142" s="229"/>
      <c r="K2142" s="229"/>
      <c r="L2142" s="229"/>
      <c r="M2142" s="229"/>
      <c r="N2142" s="232"/>
    </row>
    <row r="2143" hidden="1" spans="1:14">
      <c r="A2143" s="235"/>
      <c r="B2143" s="230" t="s">
        <v>1038</v>
      </c>
      <c r="C2143" s="229">
        <v>1.2</v>
      </c>
      <c r="D2143" s="229">
        <v>1.2</v>
      </c>
      <c r="E2143" s="229">
        <v>1.2</v>
      </c>
      <c r="F2143" s="229"/>
      <c r="G2143" s="229"/>
      <c r="H2143" s="229"/>
      <c r="I2143" s="229"/>
      <c r="J2143" s="229"/>
      <c r="K2143" s="229"/>
      <c r="L2143" s="229"/>
      <c r="M2143" s="229"/>
      <c r="N2143" s="232"/>
    </row>
    <row r="2144" hidden="1" spans="1:14">
      <c r="A2144" s="235"/>
      <c r="B2144" s="230" t="s">
        <v>1035</v>
      </c>
      <c r="C2144" s="229">
        <v>4.7</v>
      </c>
      <c r="D2144" s="229">
        <v>4.7</v>
      </c>
      <c r="E2144" s="229">
        <v>4.7</v>
      </c>
      <c r="F2144" s="229"/>
      <c r="G2144" s="229"/>
      <c r="H2144" s="229"/>
      <c r="I2144" s="229"/>
      <c r="J2144" s="229"/>
      <c r="K2144" s="229"/>
      <c r="L2144" s="229"/>
      <c r="M2144" s="229"/>
      <c r="N2144" s="232"/>
    </row>
    <row r="2145" hidden="1" spans="1:14">
      <c r="A2145" s="235"/>
      <c r="B2145" s="230" t="s">
        <v>1028</v>
      </c>
      <c r="C2145" s="229">
        <v>141.1212</v>
      </c>
      <c r="D2145" s="229">
        <v>141.1212</v>
      </c>
      <c r="E2145" s="229">
        <v>141.1212</v>
      </c>
      <c r="F2145" s="229"/>
      <c r="G2145" s="229"/>
      <c r="H2145" s="229"/>
      <c r="I2145" s="229"/>
      <c r="J2145" s="229"/>
      <c r="K2145" s="229"/>
      <c r="L2145" s="229"/>
      <c r="M2145" s="229"/>
      <c r="N2145" s="232"/>
    </row>
    <row r="2146" hidden="1" spans="1:14">
      <c r="A2146" s="235"/>
      <c r="B2146" s="230" t="s">
        <v>1036</v>
      </c>
      <c r="C2146" s="229">
        <v>82.117236</v>
      </c>
      <c r="D2146" s="229">
        <v>82.117236</v>
      </c>
      <c r="E2146" s="229">
        <v>82.117236</v>
      </c>
      <c r="F2146" s="229"/>
      <c r="G2146" s="229"/>
      <c r="H2146" s="229"/>
      <c r="I2146" s="229"/>
      <c r="J2146" s="229"/>
      <c r="K2146" s="229"/>
      <c r="L2146" s="229"/>
      <c r="M2146" s="229"/>
      <c r="N2146" s="232"/>
    </row>
    <row r="2147" hidden="1" spans="1:14">
      <c r="A2147" s="235"/>
      <c r="B2147" s="230" t="s">
        <v>1031</v>
      </c>
      <c r="C2147" s="229">
        <v>28.788</v>
      </c>
      <c r="D2147" s="229">
        <v>28.788</v>
      </c>
      <c r="E2147" s="229">
        <v>28.788</v>
      </c>
      <c r="F2147" s="229"/>
      <c r="G2147" s="229"/>
      <c r="H2147" s="229"/>
      <c r="I2147" s="229"/>
      <c r="J2147" s="229"/>
      <c r="K2147" s="229"/>
      <c r="L2147" s="229"/>
      <c r="M2147" s="229"/>
      <c r="N2147" s="232"/>
    </row>
    <row r="2148" hidden="1" spans="1:14">
      <c r="A2148" s="235"/>
      <c r="B2148" s="230" t="s">
        <v>1030</v>
      </c>
      <c r="C2148" s="229">
        <v>8</v>
      </c>
      <c r="D2148" s="229">
        <v>8</v>
      </c>
      <c r="E2148" s="229">
        <v>8</v>
      </c>
      <c r="F2148" s="229"/>
      <c r="G2148" s="229"/>
      <c r="H2148" s="229"/>
      <c r="I2148" s="229"/>
      <c r="J2148" s="229"/>
      <c r="K2148" s="229"/>
      <c r="L2148" s="229"/>
      <c r="M2148" s="229"/>
      <c r="N2148" s="232"/>
    </row>
    <row r="2149" hidden="1" spans="1:14">
      <c r="A2149" s="235"/>
      <c r="B2149" s="230" t="s">
        <v>1039</v>
      </c>
      <c r="C2149" s="229">
        <v>13.686206</v>
      </c>
      <c r="D2149" s="229">
        <v>13.686206</v>
      </c>
      <c r="E2149" s="229">
        <v>13.686206</v>
      </c>
      <c r="F2149" s="229"/>
      <c r="G2149" s="229"/>
      <c r="H2149" s="229"/>
      <c r="I2149" s="229"/>
      <c r="J2149" s="229"/>
      <c r="K2149" s="229"/>
      <c r="L2149" s="229"/>
      <c r="M2149" s="229"/>
      <c r="N2149" s="232"/>
    </row>
    <row r="2150" hidden="1" spans="1:14">
      <c r="A2150" s="235"/>
      <c r="B2150" s="230" t="s">
        <v>1032</v>
      </c>
      <c r="C2150" s="229">
        <v>684.3103</v>
      </c>
      <c r="D2150" s="229">
        <v>684.3103</v>
      </c>
      <c r="E2150" s="229">
        <v>684.3103</v>
      </c>
      <c r="F2150" s="229"/>
      <c r="G2150" s="229"/>
      <c r="H2150" s="229"/>
      <c r="I2150" s="229"/>
      <c r="J2150" s="229"/>
      <c r="K2150" s="229"/>
      <c r="L2150" s="229"/>
      <c r="M2150" s="229"/>
      <c r="N2150" s="232"/>
    </row>
    <row r="2151" hidden="1" spans="1:14">
      <c r="A2151" s="209">
        <v>810002</v>
      </c>
      <c r="B2151" s="231" t="s">
        <v>865</v>
      </c>
      <c r="C2151" s="229">
        <v>248.642229</v>
      </c>
      <c r="D2151" s="229">
        <v>248.642229</v>
      </c>
      <c r="E2151" s="229">
        <v>248.642229</v>
      </c>
      <c r="F2151" s="229"/>
      <c r="G2151" s="229"/>
      <c r="H2151" s="229"/>
      <c r="I2151" s="229"/>
      <c r="J2151" s="229"/>
      <c r="K2151" s="229"/>
      <c r="L2151" s="229"/>
      <c r="M2151" s="229"/>
      <c r="N2151" s="233"/>
    </row>
    <row r="2152" hidden="1" spans="1:14">
      <c r="A2152" s="235"/>
      <c r="B2152" s="230" t="s">
        <v>1037</v>
      </c>
      <c r="C2152" s="229">
        <v>0.3675</v>
      </c>
      <c r="D2152" s="229">
        <v>0.3675</v>
      </c>
      <c r="E2152" s="229">
        <v>0.3675</v>
      </c>
      <c r="F2152" s="229"/>
      <c r="G2152" s="229"/>
      <c r="H2152" s="229"/>
      <c r="I2152" s="229"/>
      <c r="J2152" s="229"/>
      <c r="K2152" s="229"/>
      <c r="L2152" s="229"/>
      <c r="M2152" s="229"/>
      <c r="N2152" s="232"/>
    </row>
    <row r="2153" hidden="1" spans="1:14">
      <c r="A2153" s="235"/>
      <c r="B2153" s="230" t="s">
        <v>1035</v>
      </c>
      <c r="C2153" s="229">
        <v>0.5</v>
      </c>
      <c r="D2153" s="229">
        <v>0.5</v>
      </c>
      <c r="E2153" s="229">
        <v>0.5</v>
      </c>
      <c r="F2153" s="229"/>
      <c r="G2153" s="229"/>
      <c r="H2153" s="229"/>
      <c r="I2153" s="229"/>
      <c r="J2153" s="229"/>
      <c r="K2153" s="229"/>
      <c r="L2153" s="229"/>
      <c r="M2153" s="229"/>
      <c r="N2153" s="232"/>
    </row>
    <row r="2154" hidden="1" spans="1:14">
      <c r="A2154" s="235"/>
      <c r="B2154" s="230" t="s">
        <v>1028</v>
      </c>
      <c r="C2154" s="229">
        <v>14.7</v>
      </c>
      <c r="D2154" s="229">
        <v>14.7</v>
      </c>
      <c r="E2154" s="229">
        <v>14.7</v>
      </c>
      <c r="F2154" s="229"/>
      <c r="G2154" s="229"/>
      <c r="H2154" s="229"/>
      <c r="I2154" s="229"/>
      <c r="J2154" s="229"/>
      <c r="K2154" s="229"/>
      <c r="L2154" s="229"/>
      <c r="M2154" s="229"/>
      <c r="N2154" s="232"/>
    </row>
    <row r="2155" hidden="1" spans="1:14">
      <c r="A2155" s="235"/>
      <c r="B2155" s="230" t="s">
        <v>1032</v>
      </c>
      <c r="C2155" s="229">
        <v>154.0464</v>
      </c>
      <c r="D2155" s="229">
        <v>154.0464</v>
      </c>
      <c r="E2155" s="229">
        <v>154.0464</v>
      </c>
      <c r="F2155" s="229"/>
      <c r="G2155" s="229"/>
      <c r="H2155" s="229"/>
      <c r="I2155" s="229"/>
      <c r="J2155" s="229"/>
      <c r="K2155" s="229"/>
      <c r="L2155" s="229"/>
      <c r="M2155" s="229"/>
      <c r="N2155" s="232"/>
    </row>
    <row r="2156" hidden="1" spans="1:14">
      <c r="A2156" s="235"/>
      <c r="B2156" s="230" t="s">
        <v>1038</v>
      </c>
      <c r="C2156" s="229">
        <v>0.12</v>
      </c>
      <c r="D2156" s="229">
        <v>0.12</v>
      </c>
      <c r="E2156" s="229">
        <v>0.12</v>
      </c>
      <c r="F2156" s="229"/>
      <c r="G2156" s="229"/>
      <c r="H2156" s="229"/>
      <c r="I2156" s="229"/>
      <c r="J2156" s="229"/>
      <c r="K2156" s="229"/>
      <c r="L2156" s="229"/>
      <c r="M2156" s="229"/>
      <c r="N2156" s="232"/>
    </row>
    <row r="2157" hidden="1" spans="1:14">
      <c r="A2157" s="235"/>
      <c r="B2157" s="230" t="s">
        <v>1033</v>
      </c>
      <c r="C2157" s="229">
        <v>44.123833</v>
      </c>
      <c r="D2157" s="229">
        <v>44.123833</v>
      </c>
      <c r="E2157" s="229">
        <v>44.123833</v>
      </c>
      <c r="F2157" s="229"/>
      <c r="G2157" s="229"/>
      <c r="H2157" s="229"/>
      <c r="I2157" s="229"/>
      <c r="J2157" s="229"/>
      <c r="K2157" s="229"/>
      <c r="L2157" s="229"/>
      <c r="M2157" s="229"/>
      <c r="N2157" s="232"/>
    </row>
    <row r="2158" hidden="1" spans="1:14">
      <c r="A2158" s="235"/>
      <c r="B2158" s="230" t="s">
        <v>1031</v>
      </c>
      <c r="C2158" s="229">
        <v>0.66</v>
      </c>
      <c r="D2158" s="229">
        <v>0.66</v>
      </c>
      <c r="E2158" s="229">
        <v>0.66</v>
      </c>
      <c r="F2158" s="229"/>
      <c r="G2158" s="229"/>
      <c r="H2158" s="229"/>
      <c r="I2158" s="229"/>
      <c r="J2158" s="229"/>
      <c r="K2158" s="229"/>
      <c r="L2158" s="229"/>
      <c r="M2158" s="229"/>
      <c r="N2158" s="232"/>
    </row>
    <row r="2159" hidden="1" spans="1:14">
      <c r="A2159" s="235"/>
      <c r="B2159" s="230" t="s">
        <v>1039</v>
      </c>
      <c r="C2159" s="229">
        <v>3.080928</v>
      </c>
      <c r="D2159" s="229">
        <v>3.080928</v>
      </c>
      <c r="E2159" s="229">
        <v>3.080928</v>
      </c>
      <c r="F2159" s="229"/>
      <c r="G2159" s="229"/>
      <c r="H2159" s="229"/>
      <c r="I2159" s="229"/>
      <c r="J2159" s="229"/>
      <c r="K2159" s="229"/>
      <c r="L2159" s="229"/>
      <c r="M2159" s="229"/>
      <c r="N2159" s="232"/>
    </row>
    <row r="2160" hidden="1" spans="1:14">
      <c r="A2160" s="235"/>
      <c r="B2160" s="230" t="s">
        <v>1036</v>
      </c>
      <c r="C2160" s="229">
        <v>18.485568</v>
      </c>
      <c r="D2160" s="229">
        <v>18.485568</v>
      </c>
      <c r="E2160" s="229">
        <v>18.485568</v>
      </c>
      <c r="F2160" s="229"/>
      <c r="G2160" s="229"/>
      <c r="H2160" s="229"/>
      <c r="I2160" s="229"/>
      <c r="J2160" s="229"/>
      <c r="K2160" s="229"/>
      <c r="L2160" s="229"/>
      <c r="M2160" s="229"/>
      <c r="N2160" s="232"/>
    </row>
    <row r="2161" hidden="1" spans="1:14">
      <c r="A2161" s="235"/>
      <c r="B2161" s="230" t="s">
        <v>1034</v>
      </c>
      <c r="C2161" s="229">
        <v>2.028</v>
      </c>
      <c r="D2161" s="229">
        <v>2.028</v>
      </c>
      <c r="E2161" s="229">
        <v>2.028</v>
      </c>
      <c r="F2161" s="229"/>
      <c r="G2161" s="229"/>
      <c r="H2161" s="229"/>
      <c r="I2161" s="229"/>
      <c r="J2161" s="229"/>
      <c r="K2161" s="229"/>
      <c r="L2161" s="229"/>
      <c r="M2161" s="229"/>
      <c r="N2161" s="232"/>
    </row>
    <row r="2162" hidden="1" spans="1:14">
      <c r="A2162" s="235"/>
      <c r="B2162" s="230" t="s">
        <v>1029</v>
      </c>
      <c r="C2162" s="229">
        <v>10.53</v>
      </c>
      <c r="D2162" s="229">
        <v>10.53</v>
      </c>
      <c r="E2162" s="229">
        <v>10.53</v>
      </c>
      <c r="F2162" s="229"/>
      <c r="G2162" s="229"/>
      <c r="H2162" s="229"/>
      <c r="I2162" s="229"/>
      <c r="J2162" s="229"/>
      <c r="K2162" s="229"/>
      <c r="L2162" s="229"/>
      <c r="M2162" s="229"/>
      <c r="N2162" s="232"/>
    </row>
    <row r="2163" hidden="1" spans="1:14">
      <c r="A2163" s="209">
        <v>810003</v>
      </c>
      <c r="B2163" s="231" t="s">
        <v>867</v>
      </c>
      <c r="C2163" s="229">
        <v>13.445669</v>
      </c>
      <c r="D2163" s="229">
        <v>13.445669</v>
      </c>
      <c r="E2163" s="229">
        <v>13.445669</v>
      </c>
      <c r="F2163" s="229"/>
      <c r="G2163" s="229"/>
      <c r="H2163" s="229"/>
      <c r="I2163" s="229"/>
      <c r="J2163" s="229"/>
      <c r="K2163" s="229"/>
      <c r="L2163" s="229"/>
      <c r="M2163" s="229"/>
      <c r="N2163" s="233"/>
    </row>
    <row r="2164" hidden="1" spans="1:14">
      <c r="A2164" s="235"/>
      <c r="B2164" s="230" t="s">
        <v>1036</v>
      </c>
      <c r="C2164" s="229">
        <v>1.062864</v>
      </c>
      <c r="D2164" s="229">
        <v>1.062864</v>
      </c>
      <c r="E2164" s="229">
        <v>1.062864</v>
      </c>
      <c r="F2164" s="229"/>
      <c r="G2164" s="229"/>
      <c r="H2164" s="229"/>
      <c r="I2164" s="229"/>
      <c r="J2164" s="229"/>
      <c r="K2164" s="229"/>
      <c r="L2164" s="229"/>
      <c r="M2164" s="229"/>
      <c r="N2164" s="232"/>
    </row>
    <row r="2165" hidden="1" spans="1:14">
      <c r="A2165" s="235"/>
      <c r="B2165" s="230" t="s">
        <v>1029</v>
      </c>
      <c r="C2165" s="229">
        <v>0.81</v>
      </c>
      <c r="D2165" s="229">
        <v>0.81</v>
      </c>
      <c r="E2165" s="229">
        <v>0.81</v>
      </c>
      <c r="F2165" s="229"/>
      <c r="G2165" s="229"/>
      <c r="H2165" s="229"/>
      <c r="I2165" s="229"/>
      <c r="J2165" s="229"/>
      <c r="K2165" s="229"/>
      <c r="L2165" s="229"/>
      <c r="M2165" s="229"/>
      <c r="N2165" s="232"/>
    </row>
    <row r="2166" hidden="1" spans="1:14">
      <c r="A2166" s="235"/>
      <c r="B2166" s="230" t="s">
        <v>1039</v>
      </c>
      <c r="C2166" s="229">
        <v>0.177144</v>
      </c>
      <c r="D2166" s="229">
        <v>0.177144</v>
      </c>
      <c r="E2166" s="229">
        <v>0.177144</v>
      </c>
      <c r="F2166" s="229"/>
      <c r="G2166" s="229"/>
      <c r="H2166" s="229"/>
      <c r="I2166" s="229"/>
      <c r="J2166" s="229"/>
      <c r="K2166" s="229"/>
      <c r="L2166" s="229"/>
      <c r="M2166" s="229"/>
      <c r="N2166" s="232"/>
    </row>
    <row r="2167" hidden="1" spans="1:14">
      <c r="A2167" s="235"/>
      <c r="B2167" s="230" t="s">
        <v>1032</v>
      </c>
      <c r="C2167" s="229">
        <v>8.8572</v>
      </c>
      <c r="D2167" s="229">
        <v>8.8572</v>
      </c>
      <c r="E2167" s="229">
        <v>8.8572</v>
      </c>
      <c r="F2167" s="229"/>
      <c r="G2167" s="229"/>
      <c r="H2167" s="229"/>
      <c r="I2167" s="229"/>
      <c r="J2167" s="229"/>
      <c r="K2167" s="229"/>
      <c r="L2167" s="229"/>
      <c r="M2167" s="229"/>
      <c r="N2167" s="232"/>
    </row>
    <row r="2168" hidden="1" spans="1:14">
      <c r="A2168" s="235"/>
      <c r="B2168" s="230" t="s">
        <v>1033</v>
      </c>
      <c r="C2168" s="229">
        <v>2.538461</v>
      </c>
      <c r="D2168" s="229">
        <v>2.538461</v>
      </c>
      <c r="E2168" s="229">
        <v>2.538461</v>
      </c>
      <c r="F2168" s="229"/>
      <c r="G2168" s="229"/>
      <c r="H2168" s="229"/>
      <c r="I2168" s="229"/>
      <c r="J2168" s="229"/>
      <c r="K2168" s="229"/>
      <c r="L2168" s="229"/>
      <c r="M2168" s="229"/>
      <c r="N2168" s="232"/>
    </row>
    <row r="2169" hidden="1" spans="1:14">
      <c r="A2169" s="209">
        <v>810004</v>
      </c>
      <c r="B2169" s="231" t="s">
        <v>869</v>
      </c>
      <c r="C2169" s="229">
        <v>111.479605</v>
      </c>
      <c r="D2169" s="229">
        <v>111.479605</v>
      </c>
      <c r="E2169" s="229">
        <v>111.479605</v>
      </c>
      <c r="F2169" s="229"/>
      <c r="G2169" s="229"/>
      <c r="H2169" s="229"/>
      <c r="I2169" s="229"/>
      <c r="J2169" s="229"/>
      <c r="K2169" s="229"/>
      <c r="L2169" s="229"/>
      <c r="M2169" s="229"/>
      <c r="N2169" s="233"/>
    </row>
    <row r="2170" hidden="1" spans="1:14">
      <c r="A2170" s="235"/>
      <c r="B2170" s="230" t="s">
        <v>1028</v>
      </c>
      <c r="C2170" s="229">
        <v>2.94</v>
      </c>
      <c r="D2170" s="229">
        <v>2.94</v>
      </c>
      <c r="E2170" s="229">
        <v>2.94</v>
      </c>
      <c r="F2170" s="229"/>
      <c r="G2170" s="229"/>
      <c r="H2170" s="229"/>
      <c r="I2170" s="229"/>
      <c r="J2170" s="229"/>
      <c r="K2170" s="229"/>
      <c r="L2170" s="229"/>
      <c r="M2170" s="229"/>
      <c r="N2170" s="232"/>
    </row>
    <row r="2171" hidden="1" spans="1:14">
      <c r="A2171" s="235"/>
      <c r="B2171" s="230" t="s">
        <v>1033</v>
      </c>
      <c r="C2171" s="229">
        <v>19.707873</v>
      </c>
      <c r="D2171" s="229">
        <v>19.707873</v>
      </c>
      <c r="E2171" s="229">
        <v>19.707873</v>
      </c>
      <c r="F2171" s="229"/>
      <c r="G2171" s="229"/>
      <c r="H2171" s="229"/>
      <c r="I2171" s="229"/>
      <c r="J2171" s="229"/>
      <c r="K2171" s="229"/>
      <c r="L2171" s="229"/>
      <c r="M2171" s="229"/>
      <c r="N2171" s="232"/>
    </row>
    <row r="2172" hidden="1" spans="1:14">
      <c r="A2172" s="235"/>
      <c r="B2172" s="230" t="s">
        <v>1032</v>
      </c>
      <c r="C2172" s="229">
        <v>71.6388</v>
      </c>
      <c r="D2172" s="229">
        <v>71.6388</v>
      </c>
      <c r="E2172" s="229">
        <v>71.6388</v>
      </c>
      <c r="F2172" s="229"/>
      <c r="G2172" s="229"/>
      <c r="H2172" s="229"/>
      <c r="I2172" s="229"/>
      <c r="J2172" s="229"/>
      <c r="K2172" s="229"/>
      <c r="L2172" s="229"/>
      <c r="M2172" s="229"/>
      <c r="N2172" s="232"/>
    </row>
    <row r="2173" hidden="1" spans="1:14">
      <c r="A2173" s="235"/>
      <c r="B2173" s="230" t="s">
        <v>1031</v>
      </c>
      <c r="C2173" s="229">
        <v>2.1</v>
      </c>
      <c r="D2173" s="229">
        <v>2.1</v>
      </c>
      <c r="E2173" s="229">
        <v>2.1</v>
      </c>
      <c r="F2173" s="229"/>
      <c r="G2173" s="229"/>
      <c r="H2173" s="229"/>
      <c r="I2173" s="229"/>
      <c r="J2173" s="229"/>
      <c r="K2173" s="229"/>
      <c r="L2173" s="229"/>
      <c r="M2173" s="229"/>
      <c r="N2173" s="232"/>
    </row>
    <row r="2174" hidden="1" spans="1:14">
      <c r="A2174" s="235"/>
      <c r="B2174" s="230" t="s">
        <v>1038</v>
      </c>
      <c r="C2174" s="229">
        <v>0.03</v>
      </c>
      <c r="D2174" s="229">
        <v>0.03</v>
      </c>
      <c r="E2174" s="229">
        <v>0.03</v>
      </c>
      <c r="F2174" s="229"/>
      <c r="G2174" s="229"/>
      <c r="H2174" s="229"/>
      <c r="I2174" s="229"/>
      <c r="J2174" s="229"/>
      <c r="K2174" s="229"/>
      <c r="L2174" s="229"/>
      <c r="M2174" s="229"/>
      <c r="N2174" s="232"/>
    </row>
    <row r="2175" hidden="1" spans="1:14">
      <c r="A2175" s="235"/>
      <c r="B2175" s="230" t="s">
        <v>1037</v>
      </c>
      <c r="C2175" s="229">
        <v>0.0735</v>
      </c>
      <c r="D2175" s="229">
        <v>0.0735</v>
      </c>
      <c r="E2175" s="229">
        <v>0.0735</v>
      </c>
      <c r="F2175" s="229"/>
      <c r="G2175" s="229"/>
      <c r="H2175" s="229"/>
      <c r="I2175" s="229"/>
      <c r="J2175" s="229"/>
      <c r="K2175" s="229"/>
      <c r="L2175" s="229"/>
      <c r="M2175" s="229"/>
      <c r="N2175" s="232"/>
    </row>
    <row r="2176" hidden="1" spans="1:14">
      <c r="A2176" s="235"/>
      <c r="B2176" s="230" t="s">
        <v>1036</v>
      </c>
      <c r="C2176" s="229">
        <v>8.596656</v>
      </c>
      <c r="D2176" s="229">
        <v>8.596656</v>
      </c>
      <c r="E2176" s="229">
        <v>8.596656</v>
      </c>
      <c r="F2176" s="229"/>
      <c r="G2176" s="229"/>
      <c r="H2176" s="229"/>
      <c r="I2176" s="229"/>
      <c r="J2176" s="229"/>
      <c r="K2176" s="229"/>
      <c r="L2176" s="229"/>
      <c r="M2176" s="229"/>
      <c r="N2176" s="232"/>
    </row>
    <row r="2177" hidden="1" spans="1:14">
      <c r="A2177" s="235"/>
      <c r="B2177" s="230" t="s">
        <v>1039</v>
      </c>
      <c r="C2177" s="229">
        <v>1.432776</v>
      </c>
      <c r="D2177" s="229">
        <v>1.432776</v>
      </c>
      <c r="E2177" s="229">
        <v>1.432776</v>
      </c>
      <c r="F2177" s="229"/>
      <c r="G2177" s="229"/>
      <c r="H2177" s="229"/>
      <c r="I2177" s="229"/>
      <c r="J2177" s="229"/>
      <c r="K2177" s="229"/>
      <c r="L2177" s="229"/>
      <c r="M2177" s="229"/>
      <c r="N2177" s="232"/>
    </row>
    <row r="2178" hidden="1" spans="1:14">
      <c r="A2178" s="235"/>
      <c r="B2178" s="230" t="s">
        <v>1035</v>
      </c>
      <c r="C2178" s="229">
        <v>0.1</v>
      </c>
      <c r="D2178" s="229">
        <v>0.1</v>
      </c>
      <c r="E2178" s="229">
        <v>0.1</v>
      </c>
      <c r="F2178" s="229"/>
      <c r="G2178" s="229"/>
      <c r="H2178" s="229"/>
      <c r="I2178" s="229"/>
      <c r="J2178" s="229"/>
      <c r="K2178" s="229"/>
      <c r="L2178" s="229"/>
      <c r="M2178" s="229"/>
      <c r="N2178" s="232"/>
    </row>
    <row r="2179" hidden="1" spans="1:14">
      <c r="A2179" s="235"/>
      <c r="B2179" s="230" t="s">
        <v>1029</v>
      </c>
      <c r="C2179" s="229">
        <v>4.86</v>
      </c>
      <c r="D2179" s="229">
        <v>4.86</v>
      </c>
      <c r="E2179" s="229">
        <v>4.86</v>
      </c>
      <c r="F2179" s="229"/>
      <c r="G2179" s="229"/>
      <c r="H2179" s="229"/>
      <c r="I2179" s="229"/>
      <c r="J2179" s="229"/>
      <c r="K2179" s="229"/>
      <c r="L2179" s="229"/>
      <c r="M2179" s="229"/>
      <c r="N2179" s="232"/>
    </row>
    <row r="2180" hidden="1" spans="1:14">
      <c r="A2180" s="209">
        <v>810005</v>
      </c>
      <c r="B2180" s="231" t="s">
        <v>871</v>
      </c>
      <c r="C2180" s="229">
        <v>106.198718</v>
      </c>
      <c r="D2180" s="229">
        <v>106.198718</v>
      </c>
      <c r="E2180" s="229">
        <v>106.198718</v>
      </c>
      <c r="F2180" s="229"/>
      <c r="G2180" s="229"/>
      <c r="H2180" s="229"/>
      <c r="I2180" s="229"/>
      <c r="J2180" s="229"/>
      <c r="K2180" s="229"/>
      <c r="L2180" s="229"/>
      <c r="M2180" s="229"/>
      <c r="N2180" s="233"/>
    </row>
    <row r="2181" hidden="1" spans="1:14">
      <c r="A2181" s="235"/>
      <c r="B2181" s="230" t="s">
        <v>1033</v>
      </c>
      <c r="C2181" s="229">
        <v>19.090694</v>
      </c>
      <c r="D2181" s="229">
        <v>19.090694</v>
      </c>
      <c r="E2181" s="229">
        <v>19.090694</v>
      </c>
      <c r="F2181" s="229"/>
      <c r="G2181" s="229"/>
      <c r="H2181" s="229"/>
      <c r="I2181" s="229"/>
      <c r="J2181" s="229"/>
      <c r="K2181" s="229"/>
      <c r="L2181" s="229"/>
      <c r="M2181" s="229"/>
      <c r="N2181" s="232"/>
    </row>
    <row r="2182" hidden="1" spans="1:14">
      <c r="A2182" s="235"/>
      <c r="B2182" s="230" t="s">
        <v>1032</v>
      </c>
      <c r="C2182" s="229">
        <v>71.7816</v>
      </c>
      <c r="D2182" s="229">
        <v>71.7816</v>
      </c>
      <c r="E2182" s="229">
        <v>71.7816</v>
      </c>
      <c r="F2182" s="229"/>
      <c r="G2182" s="229"/>
      <c r="H2182" s="229"/>
      <c r="I2182" s="229"/>
      <c r="J2182" s="229"/>
      <c r="K2182" s="229"/>
      <c r="L2182" s="229"/>
      <c r="M2182" s="229"/>
      <c r="N2182" s="232"/>
    </row>
    <row r="2183" hidden="1" spans="1:14">
      <c r="A2183" s="235"/>
      <c r="B2183" s="230" t="s">
        <v>1031</v>
      </c>
      <c r="C2183" s="229">
        <v>0.66</v>
      </c>
      <c r="D2183" s="229">
        <v>0.66</v>
      </c>
      <c r="E2183" s="229">
        <v>0.66</v>
      </c>
      <c r="F2183" s="229"/>
      <c r="G2183" s="229"/>
      <c r="H2183" s="229"/>
      <c r="I2183" s="229"/>
      <c r="J2183" s="229"/>
      <c r="K2183" s="229"/>
      <c r="L2183" s="229"/>
      <c r="M2183" s="229"/>
      <c r="N2183" s="232"/>
    </row>
    <row r="2184" hidden="1" spans="1:14">
      <c r="A2184" s="235"/>
      <c r="B2184" s="230" t="s">
        <v>1036</v>
      </c>
      <c r="C2184" s="229">
        <v>8.613792</v>
      </c>
      <c r="D2184" s="229">
        <v>8.613792</v>
      </c>
      <c r="E2184" s="229">
        <v>8.613792</v>
      </c>
      <c r="F2184" s="229"/>
      <c r="G2184" s="229"/>
      <c r="H2184" s="229"/>
      <c r="I2184" s="229"/>
      <c r="J2184" s="229"/>
      <c r="K2184" s="229"/>
      <c r="L2184" s="229"/>
      <c r="M2184" s="229"/>
      <c r="N2184" s="232"/>
    </row>
    <row r="2185" hidden="1" spans="1:14">
      <c r="A2185" s="235"/>
      <c r="B2185" s="230" t="s">
        <v>1039</v>
      </c>
      <c r="C2185" s="229">
        <v>1.435632</v>
      </c>
      <c r="D2185" s="229">
        <v>1.435632</v>
      </c>
      <c r="E2185" s="229">
        <v>1.435632</v>
      </c>
      <c r="F2185" s="229"/>
      <c r="G2185" s="229"/>
      <c r="H2185" s="229"/>
      <c r="I2185" s="229"/>
      <c r="J2185" s="229"/>
      <c r="K2185" s="229"/>
      <c r="L2185" s="229"/>
      <c r="M2185" s="229"/>
      <c r="N2185" s="232"/>
    </row>
    <row r="2186" hidden="1" spans="1:14">
      <c r="A2186" s="235"/>
      <c r="B2186" s="230" t="s">
        <v>1029</v>
      </c>
      <c r="C2186" s="229">
        <v>4.617</v>
      </c>
      <c r="D2186" s="229">
        <v>4.617</v>
      </c>
      <c r="E2186" s="229">
        <v>4.617</v>
      </c>
      <c r="F2186" s="229"/>
      <c r="G2186" s="229"/>
      <c r="H2186" s="229"/>
      <c r="I2186" s="229"/>
      <c r="J2186" s="229"/>
      <c r="K2186" s="229"/>
      <c r="L2186" s="229"/>
      <c r="M2186" s="229"/>
      <c r="N2186" s="232"/>
    </row>
    <row r="2187" hidden="1" spans="1:14">
      <c r="A2187" s="209">
        <v>810006</v>
      </c>
      <c r="B2187" s="231" t="s">
        <v>873</v>
      </c>
      <c r="C2187" s="229">
        <v>165.469841</v>
      </c>
      <c r="D2187" s="229">
        <v>165.469841</v>
      </c>
      <c r="E2187" s="229">
        <v>165.469841</v>
      </c>
      <c r="F2187" s="229"/>
      <c r="G2187" s="229"/>
      <c r="H2187" s="229"/>
      <c r="I2187" s="229"/>
      <c r="J2187" s="229"/>
      <c r="K2187" s="229"/>
      <c r="L2187" s="229"/>
      <c r="M2187" s="229"/>
      <c r="N2187" s="233"/>
    </row>
    <row r="2188" hidden="1" spans="1:14">
      <c r="A2188" s="235"/>
      <c r="B2188" s="230" t="s">
        <v>1029</v>
      </c>
      <c r="C2188" s="229">
        <v>7.047</v>
      </c>
      <c r="D2188" s="229">
        <v>7.047</v>
      </c>
      <c r="E2188" s="229">
        <v>7.047</v>
      </c>
      <c r="F2188" s="229"/>
      <c r="G2188" s="229"/>
      <c r="H2188" s="229"/>
      <c r="I2188" s="229"/>
      <c r="J2188" s="229"/>
      <c r="K2188" s="229"/>
      <c r="L2188" s="229"/>
      <c r="M2188" s="229"/>
      <c r="N2188" s="232"/>
    </row>
    <row r="2189" hidden="1" spans="1:14">
      <c r="A2189" s="235"/>
      <c r="B2189" s="230" t="s">
        <v>1032</v>
      </c>
      <c r="C2189" s="229">
        <v>112.0902</v>
      </c>
      <c r="D2189" s="229">
        <v>112.0902</v>
      </c>
      <c r="E2189" s="229">
        <v>112.0902</v>
      </c>
      <c r="F2189" s="229"/>
      <c r="G2189" s="229"/>
      <c r="H2189" s="229"/>
      <c r="I2189" s="229"/>
      <c r="J2189" s="229"/>
      <c r="K2189" s="229"/>
      <c r="L2189" s="229"/>
      <c r="M2189" s="229"/>
      <c r="N2189" s="232"/>
    </row>
    <row r="2190" hidden="1" spans="1:14">
      <c r="A2190" s="235"/>
      <c r="B2190" s="230" t="s">
        <v>1031</v>
      </c>
      <c r="C2190" s="229">
        <v>0.66</v>
      </c>
      <c r="D2190" s="229">
        <v>0.66</v>
      </c>
      <c r="E2190" s="229">
        <v>0.66</v>
      </c>
      <c r="F2190" s="229"/>
      <c r="G2190" s="229"/>
      <c r="H2190" s="229"/>
      <c r="I2190" s="229"/>
      <c r="J2190" s="229"/>
      <c r="K2190" s="229"/>
      <c r="L2190" s="229"/>
      <c r="M2190" s="229"/>
      <c r="N2190" s="232"/>
    </row>
    <row r="2191" hidden="1" spans="1:14">
      <c r="A2191" s="235"/>
      <c r="B2191" s="230" t="s">
        <v>1039</v>
      </c>
      <c r="C2191" s="229">
        <v>2.241804</v>
      </c>
      <c r="D2191" s="229">
        <v>2.241804</v>
      </c>
      <c r="E2191" s="229">
        <v>2.241804</v>
      </c>
      <c r="F2191" s="229"/>
      <c r="G2191" s="229"/>
      <c r="H2191" s="229"/>
      <c r="I2191" s="229"/>
      <c r="J2191" s="229"/>
      <c r="K2191" s="229"/>
      <c r="L2191" s="229"/>
      <c r="M2191" s="229"/>
      <c r="N2191" s="232"/>
    </row>
    <row r="2192" hidden="1" spans="1:14">
      <c r="A2192" s="235"/>
      <c r="B2192" s="230" t="s">
        <v>1036</v>
      </c>
      <c r="C2192" s="229">
        <v>13.450824</v>
      </c>
      <c r="D2192" s="229">
        <v>13.450824</v>
      </c>
      <c r="E2192" s="229">
        <v>13.450824</v>
      </c>
      <c r="F2192" s="229"/>
      <c r="G2192" s="229"/>
      <c r="H2192" s="229"/>
      <c r="I2192" s="229"/>
      <c r="J2192" s="229"/>
      <c r="K2192" s="229"/>
      <c r="L2192" s="229"/>
      <c r="M2192" s="229"/>
      <c r="N2192" s="232"/>
    </row>
    <row r="2193" hidden="1" spans="1:14">
      <c r="A2193" s="235"/>
      <c r="B2193" s="230" t="s">
        <v>1033</v>
      </c>
      <c r="C2193" s="229">
        <v>29.980013</v>
      </c>
      <c r="D2193" s="229">
        <v>29.980013</v>
      </c>
      <c r="E2193" s="229">
        <v>29.980013</v>
      </c>
      <c r="F2193" s="229"/>
      <c r="G2193" s="229"/>
      <c r="H2193" s="229"/>
      <c r="I2193" s="229"/>
      <c r="J2193" s="229"/>
      <c r="K2193" s="229"/>
      <c r="L2193" s="229"/>
      <c r="M2193" s="229"/>
      <c r="N2193" s="232"/>
    </row>
    <row r="2194" hidden="1" spans="1:14">
      <c r="A2194" s="209">
        <v>810007</v>
      </c>
      <c r="B2194" s="231" t="s">
        <v>875</v>
      </c>
      <c r="C2194" s="229">
        <v>34.14204</v>
      </c>
      <c r="D2194" s="229">
        <v>34.14204</v>
      </c>
      <c r="E2194" s="229">
        <v>34.14204</v>
      </c>
      <c r="F2194" s="229"/>
      <c r="G2194" s="229"/>
      <c r="H2194" s="229"/>
      <c r="I2194" s="229"/>
      <c r="J2194" s="229"/>
      <c r="K2194" s="229"/>
      <c r="L2194" s="229"/>
      <c r="M2194" s="229"/>
      <c r="N2194" s="233"/>
    </row>
    <row r="2195" hidden="1" spans="1:14">
      <c r="A2195" s="235"/>
      <c r="B2195" s="230" t="s">
        <v>1032</v>
      </c>
      <c r="C2195" s="229">
        <v>23.158</v>
      </c>
      <c r="D2195" s="229">
        <v>23.158</v>
      </c>
      <c r="E2195" s="229">
        <v>23.158</v>
      </c>
      <c r="F2195" s="229"/>
      <c r="G2195" s="229"/>
      <c r="H2195" s="229"/>
      <c r="I2195" s="229"/>
      <c r="J2195" s="229"/>
      <c r="K2195" s="229"/>
      <c r="L2195" s="229"/>
      <c r="M2195" s="229"/>
      <c r="N2195" s="232"/>
    </row>
    <row r="2196" hidden="1" spans="1:14">
      <c r="A2196" s="235"/>
      <c r="B2196" s="230" t="s">
        <v>1039</v>
      </c>
      <c r="C2196" s="229">
        <v>0.46316</v>
      </c>
      <c r="D2196" s="229">
        <v>0.46316</v>
      </c>
      <c r="E2196" s="229">
        <v>0.46316</v>
      </c>
      <c r="F2196" s="229"/>
      <c r="G2196" s="229"/>
      <c r="H2196" s="229"/>
      <c r="I2196" s="229"/>
      <c r="J2196" s="229"/>
      <c r="K2196" s="229"/>
      <c r="L2196" s="229"/>
      <c r="M2196" s="229"/>
      <c r="N2196" s="232"/>
    </row>
    <row r="2197" hidden="1" spans="1:14">
      <c r="A2197" s="235"/>
      <c r="B2197" s="230" t="s">
        <v>1029</v>
      </c>
      <c r="C2197" s="229">
        <v>1.62</v>
      </c>
      <c r="D2197" s="229">
        <v>1.62</v>
      </c>
      <c r="E2197" s="229">
        <v>1.62</v>
      </c>
      <c r="F2197" s="229"/>
      <c r="G2197" s="229"/>
      <c r="H2197" s="229"/>
      <c r="I2197" s="229"/>
      <c r="J2197" s="229"/>
      <c r="K2197" s="229"/>
      <c r="L2197" s="229"/>
      <c r="M2197" s="229"/>
      <c r="N2197" s="232"/>
    </row>
    <row r="2198" hidden="1" spans="1:14">
      <c r="A2198" s="235"/>
      <c r="B2198" s="230" t="s">
        <v>1033</v>
      </c>
      <c r="C2198" s="229">
        <v>6.12192</v>
      </c>
      <c r="D2198" s="229">
        <v>6.12192</v>
      </c>
      <c r="E2198" s="229">
        <v>6.12192</v>
      </c>
      <c r="F2198" s="229"/>
      <c r="G2198" s="229"/>
      <c r="H2198" s="229"/>
      <c r="I2198" s="229"/>
      <c r="J2198" s="229"/>
      <c r="K2198" s="229"/>
      <c r="L2198" s="229"/>
      <c r="M2198" s="229"/>
      <c r="N2198" s="232"/>
    </row>
    <row r="2199" hidden="1" spans="1:14">
      <c r="A2199" s="235"/>
      <c r="B2199" s="230" t="s">
        <v>1036</v>
      </c>
      <c r="C2199" s="229">
        <v>2.77896</v>
      </c>
      <c r="D2199" s="229">
        <v>2.77896</v>
      </c>
      <c r="E2199" s="229">
        <v>2.77896</v>
      </c>
      <c r="F2199" s="229"/>
      <c r="G2199" s="229"/>
      <c r="H2199" s="229"/>
      <c r="I2199" s="229"/>
      <c r="J2199" s="229"/>
      <c r="K2199" s="229"/>
      <c r="L2199" s="229"/>
      <c r="M2199" s="229"/>
      <c r="N2199" s="232"/>
    </row>
    <row r="2200" hidden="1" spans="1:14">
      <c r="A2200" s="209">
        <v>811001</v>
      </c>
      <c r="B2200" s="231" t="s">
        <v>878</v>
      </c>
      <c r="C2200" s="229">
        <v>753.538029</v>
      </c>
      <c r="D2200" s="229">
        <v>753.538029</v>
      </c>
      <c r="E2200" s="229">
        <v>753.538029</v>
      </c>
      <c r="F2200" s="229"/>
      <c r="G2200" s="229"/>
      <c r="H2200" s="229"/>
      <c r="I2200" s="229"/>
      <c r="J2200" s="229"/>
      <c r="K2200" s="229"/>
      <c r="L2200" s="229"/>
      <c r="M2200" s="229"/>
      <c r="N2200" s="233"/>
    </row>
    <row r="2201" hidden="1" spans="1:14">
      <c r="A2201" s="235"/>
      <c r="B2201" s="230" t="s">
        <v>1033</v>
      </c>
      <c r="C2201" s="229">
        <v>121.648886</v>
      </c>
      <c r="D2201" s="229">
        <v>121.648886</v>
      </c>
      <c r="E2201" s="229">
        <v>121.648886</v>
      </c>
      <c r="F2201" s="229"/>
      <c r="G2201" s="229"/>
      <c r="H2201" s="229"/>
      <c r="I2201" s="229"/>
      <c r="J2201" s="229"/>
      <c r="K2201" s="229"/>
      <c r="L2201" s="229"/>
      <c r="M2201" s="229"/>
      <c r="N2201" s="232"/>
    </row>
    <row r="2202" hidden="1" spans="1:14">
      <c r="A2202" s="235"/>
      <c r="B2202" s="230" t="s">
        <v>1028</v>
      </c>
      <c r="C2202" s="229">
        <v>64.26204</v>
      </c>
      <c r="D2202" s="229">
        <v>64.26204</v>
      </c>
      <c r="E2202" s="229">
        <v>64.26204</v>
      </c>
      <c r="F2202" s="229"/>
      <c r="G2202" s="229"/>
      <c r="H2202" s="229"/>
      <c r="I2202" s="229"/>
      <c r="J2202" s="229"/>
      <c r="K2202" s="229"/>
      <c r="L2202" s="229"/>
      <c r="M2202" s="229"/>
      <c r="N2202" s="232"/>
    </row>
    <row r="2203" hidden="1" spans="1:14">
      <c r="A2203" s="235"/>
      <c r="B2203" s="230" t="s">
        <v>1030</v>
      </c>
      <c r="C2203" s="229">
        <v>8</v>
      </c>
      <c r="D2203" s="229">
        <v>8</v>
      </c>
      <c r="E2203" s="229">
        <v>8</v>
      </c>
      <c r="F2203" s="229"/>
      <c r="G2203" s="229"/>
      <c r="H2203" s="229"/>
      <c r="I2203" s="229"/>
      <c r="J2203" s="229"/>
      <c r="K2203" s="229"/>
      <c r="L2203" s="229"/>
      <c r="M2203" s="229"/>
      <c r="N2203" s="232"/>
    </row>
    <row r="2204" hidden="1" spans="1:14">
      <c r="A2204" s="235"/>
      <c r="B2204" s="230" t="s">
        <v>1035</v>
      </c>
      <c r="C2204" s="229">
        <v>2.2</v>
      </c>
      <c r="D2204" s="229">
        <v>2.2</v>
      </c>
      <c r="E2204" s="229">
        <v>2.2</v>
      </c>
      <c r="F2204" s="229"/>
      <c r="G2204" s="229"/>
      <c r="H2204" s="229"/>
      <c r="I2204" s="229"/>
      <c r="J2204" s="229"/>
      <c r="K2204" s="229"/>
      <c r="L2204" s="229"/>
      <c r="M2204" s="229"/>
      <c r="N2204" s="232"/>
    </row>
    <row r="2205" hidden="1" spans="1:14">
      <c r="A2205" s="235"/>
      <c r="B2205" s="230" t="s">
        <v>1037</v>
      </c>
      <c r="C2205" s="229">
        <v>1.606551</v>
      </c>
      <c r="D2205" s="229">
        <v>1.606551</v>
      </c>
      <c r="E2205" s="229">
        <v>1.606551</v>
      </c>
      <c r="F2205" s="229"/>
      <c r="G2205" s="229"/>
      <c r="H2205" s="229"/>
      <c r="I2205" s="229"/>
      <c r="J2205" s="229"/>
      <c r="K2205" s="229"/>
      <c r="L2205" s="229"/>
      <c r="M2205" s="229"/>
      <c r="N2205" s="232"/>
    </row>
    <row r="2206" hidden="1" spans="1:14">
      <c r="A2206" s="235"/>
      <c r="B2206" s="230" t="s">
        <v>1039</v>
      </c>
      <c r="C2206" s="229">
        <v>8.416711</v>
      </c>
      <c r="D2206" s="229">
        <v>8.416711</v>
      </c>
      <c r="E2206" s="229">
        <v>8.416711</v>
      </c>
      <c r="F2206" s="229"/>
      <c r="G2206" s="229"/>
      <c r="H2206" s="229"/>
      <c r="I2206" s="229"/>
      <c r="J2206" s="229"/>
      <c r="K2206" s="229"/>
      <c r="L2206" s="229"/>
      <c r="M2206" s="229"/>
      <c r="N2206" s="232"/>
    </row>
    <row r="2207" hidden="1" spans="1:14">
      <c r="A2207" s="235"/>
      <c r="B2207" s="230" t="s">
        <v>1036</v>
      </c>
      <c r="C2207" s="229">
        <v>50.500269</v>
      </c>
      <c r="D2207" s="229">
        <v>50.500269</v>
      </c>
      <c r="E2207" s="229">
        <v>50.500269</v>
      </c>
      <c r="F2207" s="229"/>
      <c r="G2207" s="229"/>
      <c r="H2207" s="229"/>
      <c r="I2207" s="229"/>
      <c r="J2207" s="229"/>
      <c r="K2207" s="229"/>
      <c r="L2207" s="229"/>
      <c r="M2207" s="229"/>
      <c r="N2207" s="232"/>
    </row>
    <row r="2208" hidden="1" spans="1:14">
      <c r="A2208" s="235"/>
      <c r="B2208" s="230" t="s">
        <v>1031</v>
      </c>
      <c r="C2208" s="229">
        <v>22.608</v>
      </c>
      <c r="D2208" s="229">
        <v>22.608</v>
      </c>
      <c r="E2208" s="229">
        <v>22.608</v>
      </c>
      <c r="F2208" s="229"/>
      <c r="G2208" s="229"/>
      <c r="H2208" s="229"/>
      <c r="I2208" s="229"/>
      <c r="J2208" s="229"/>
      <c r="K2208" s="229"/>
      <c r="L2208" s="229"/>
      <c r="M2208" s="229"/>
      <c r="N2208" s="232"/>
    </row>
    <row r="2209" hidden="1" spans="1:14">
      <c r="A2209" s="235"/>
      <c r="B2209" s="230" t="s">
        <v>1029</v>
      </c>
      <c r="C2209" s="229">
        <v>53.46</v>
      </c>
      <c r="D2209" s="229">
        <v>53.46</v>
      </c>
      <c r="E2209" s="229">
        <v>53.46</v>
      </c>
      <c r="F2209" s="229"/>
      <c r="G2209" s="229"/>
      <c r="H2209" s="229"/>
      <c r="I2209" s="229"/>
      <c r="J2209" s="229"/>
      <c r="K2209" s="229"/>
      <c r="L2209" s="229"/>
      <c r="M2209" s="229"/>
      <c r="N2209" s="232"/>
    </row>
    <row r="2210" hidden="1" spans="1:14">
      <c r="A2210" s="235"/>
      <c r="B2210" s="230" t="s">
        <v>1032</v>
      </c>
      <c r="C2210" s="229">
        <v>420.835572</v>
      </c>
      <c r="D2210" s="229">
        <v>420.835572</v>
      </c>
      <c r="E2210" s="229">
        <v>420.835572</v>
      </c>
      <c r="F2210" s="229"/>
      <c r="G2210" s="229"/>
      <c r="H2210" s="229"/>
      <c r="I2210" s="229"/>
      <c r="J2210" s="229"/>
      <c r="K2210" s="229"/>
      <c r="L2210" s="229"/>
      <c r="M2210" s="229"/>
      <c r="N2210" s="232"/>
    </row>
    <row r="2211" hidden="1" spans="1:14">
      <c r="A2211" s="209">
        <v>811002</v>
      </c>
      <c r="B2211" s="230" t="s">
        <v>880</v>
      </c>
      <c r="C2211" s="229">
        <v>215.837463</v>
      </c>
      <c r="D2211" s="229">
        <v>215.837463</v>
      </c>
      <c r="E2211" s="229">
        <v>215.837463</v>
      </c>
      <c r="F2211" s="229"/>
      <c r="G2211" s="229"/>
      <c r="H2211" s="229"/>
      <c r="I2211" s="229"/>
      <c r="J2211" s="229"/>
      <c r="K2211" s="229"/>
      <c r="L2211" s="229"/>
      <c r="M2211" s="229"/>
      <c r="N2211" s="233"/>
    </row>
    <row r="2212" hidden="1" spans="1:14">
      <c r="A2212" s="235"/>
      <c r="B2212" s="230" t="s">
        <v>1036</v>
      </c>
      <c r="C2212" s="229">
        <v>16.517736</v>
      </c>
      <c r="D2212" s="229">
        <v>16.517736</v>
      </c>
      <c r="E2212" s="229">
        <v>16.517736</v>
      </c>
      <c r="F2212" s="229"/>
      <c r="G2212" s="229"/>
      <c r="H2212" s="229"/>
      <c r="I2212" s="229"/>
      <c r="J2212" s="229"/>
      <c r="K2212" s="229"/>
      <c r="L2212" s="229"/>
      <c r="M2212" s="229"/>
      <c r="N2212" s="232"/>
    </row>
    <row r="2213" hidden="1" spans="1:14">
      <c r="A2213" s="235"/>
      <c r="B2213" s="230" t="s">
        <v>1035</v>
      </c>
      <c r="C2213" s="229">
        <v>0.3</v>
      </c>
      <c r="D2213" s="229">
        <v>0.3</v>
      </c>
      <c r="E2213" s="229">
        <v>0.3</v>
      </c>
      <c r="F2213" s="229"/>
      <c r="G2213" s="229"/>
      <c r="H2213" s="229"/>
      <c r="I2213" s="229"/>
      <c r="J2213" s="229"/>
      <c r="K2213" s="229"/>
      <c r="L2213" s="229"/>
      <c r="M2213" s="229"/>
      <c r="N2213" s="232"/>
    </row>
    <row r="2214" hidden="1" spans="1:14">
      <c r="A2214" s="235"/>
      <c r="B2214" s="230" t="s">
        <v>1039</v>
      </c>
      <c r="C2214" s="229">
        <v>2.752956</v>
      </c>
      <c r="D2214" s="229">
        <v>2.752956</v>
      </c>
      <c r="E2214" s="229">
        <v>2.752956</v>
      </c>
      <c r="F2214" s="229"/>
      <c r="G2214" s="229"/>
      <c r="H2214" s="229"/>
      <c r="I2214" s="229"/>
      <c r="J2214" s="229"/>
      <c r="K2214" s="229"/>
      <c r="L2214" s="229"/>
      <c r="M2214" s="229"/>
      <c r="N2214" s="232"/>
    </row>
    <row r="2215" hidden="1" spans="1:14">
      <c r="A2215" s="235"/>
      <c r="B2215" s="230" t="s">
        <v>1038</v>
      </c>
      <c r="C2215" s="229">
        <v>0.06</v>
      </c>
      <c r="D2215" s="229">
        <v>0.06</v>
      </c>
      <c r="E2215" s="229">
        <v>0.06</v>
      </c>
      <c r="F2215" s="229"/>
      <c r="G2215" s="229"/>
      <c r="H2215" s="229"/>
      <c r="I2215" s="229"/>
      <c r="J2215" s="229"/>
      <c r="K2215" s="229"/>
      <c r="L2215" s="229"/>
      <c r="M2215" s="229"/>
      <c r="N2215" s="232"/>
    </row>
    <row r="2216" hidden="1" spans="1:14">
      <c r="A2216" s="235"/>
      <c r="B2216" s="230" t="s">
        <v>1029</v>
      </c>
      <c r="C2216" s="229">
        <v>10.53</v>
      </c>
      <c r="D2216" s="229">
        <v>10.53</v>
      </c>
      <c r="E2216" s="229">
        <v>10.53</v>
      </c>
      <c r="F2216" s="229"/>
      <c r="G2216" s="229"/>
      <c r="H2216" s="229"/>
      <c r="I2216" s="229"/>
      <c r="J2216" s="229"/>
      <c r="K2216" s="229"/>
      <c r="L2216" s="229"/>
      <c r="M2216" s="229"/>
      <c r="N2216" s="232"/>
    </row>
    <row r="2217" hidden="1" spans="1:14">
      <c r="A2217" s="235"/>
      <c r="B2217" s="230" t="s">
        <v>1037</v>
      </c>
      <c r="C2217" s="229">
        <v>0.2205</v>
      </c>
      <c r="D2217" s="229">
        <v>0.2205</v>
      </c>
      <c r="E2217" s="229">
        <v>0.2205</v>
      </c>
      <c r="F2217" s="229"/>
      <c r="G2217" s="229"/>
      <c r="H2217" s="229"/>
      <c r="I2217" s="229"/>
      <c r="J2217" s="229"/>
      <c r="K2217" s="229"/>
      <c r="L2217" s="229"/>
      <c r="M2217" s="229"/>
      <c r="N2217" s="232"/>
    </row>
    <row r="2218" hidden="1" spans="1:14">
      <c r="A2218" s="235"/>
      <c r="B2218" s="230" t="s">
        <v>1032</v>
      </c>
      <c r="C2218" s="229">
        <v>137.6478</v>
      </c>
      <c r="D2218" s="229">
        <v>137.6478</v>
      </c>
      <c r="E2218" s="229">
        <v>137.6478</v>
      </c>
      <c r="F2218" s="229"/>
      <c r="G2218" s="229"/>
      <c r="H2218" s="229"/>
      <c r="I2218" s="229"/>
      <c r="J2218" s="229"/>
      <c r="K2218" s="229"/>
      <c r="L2218" s="229"/>
      <c r="M2218" s="229"/>
      <c r="N2218" s="232"/>
    </row>
    <row r="2219" hidden="1" spans="1:14">
      <c r="A2219" s="235"/>
      <c r="B2219" s="230" t="s">
        <v>1028</v>
      </c>
      <c r="C2219" s="229">
        <v>8.82</v>
      </c>
      <c r="D2219" s="229">
        <v>8.82</v>
      </c>
      <c r="E2219" s="229">
        <v>8.82</v>
      </c>
      <c r="F2219" s="229"/>
      <c r="G2219" s="229"/>
      <c r="H2219" s="229"/>
      <c r="I2219" s="229"/>
      <c r="J2219" s="229"/>
      <c r="K2219" s="229"/>
      <c r="L2219" s="229"/>
      <c r="M2219" s="229"/>
      <c r="N2219" s="232"/>
    </row>
    <row r="2220" hidden="1" spans="1:14">
      <c r="A2220" s="235"/>
      <c r="B2220" s="230" t="s">
        <v>1033</v>
      </c>
      <c r="C2220" s="229">
        <v>38.988471</v>
      </c>
      <c r="D2220" s="229">
        <v>38.988471</v>
      </c>
      <c r="E2220" s="229">
        <v>38.988471</v>
      </c>
      <c r="F2220" s="229"/>
      <c r="G2220" s="229"/>
      <c r="H2220" s="229"/>
      <c r="I2220" s="229"/>
      <c r="J2220" s="229"/>
      <c r="K2220" s="229"/>
      <c r="L2220" s="229"/>
      <c r="M2220" s="229"/>
      <c r="N2220" s="232"/>
    </row>
    <row r="2221" hidden="1" spans="1:14">
      <c r="A2221" s="209">
        <v>811003</v>
      </c>
      <c r="B2221" s="231" t="s">
        <v>1158</v>
      </c>
      <c r="C2221" s="229">
        <v>16.235264</v>
      </c>
      <c r="D2221" s="229">
        <v>16.235264</v>
      </c>
      <c r="E2221" s="229">
        <v>16.235264</v>
      </c>
      <c r="F2221" s="229"/>
      <c r="G2221" s="229"/>
      <c r="H2221" s="229"/>
      <c r="I2221" s="229"/>
      <c r="J2221" s="229"/>
      <c r="K2221" s="229"/>
      <c r="L2221" s="229"/>
      <c r="M2221" s="229"/>
      <c r="N2221" s="233"/>
    </row>
    <row r="2222" hidden="1" spans="1:14">
      <c r="A2222" s="235"/>
      <c r="B2222" s="230" t="s">
        <v>1039</v>
      </c>
      <c r="C2222" s="229">
        <v>0.219695</v>
      </c>
      <c r="D2222" s="229">
        <v>0.219695</v>
      </c>
      <c r="E2222" s="229">
        <v>0.219695</v>
      </c>
      <c r="F2222" s="229"/>
      <c r="G2222" s="229"/>
      <c r="H2222" s="229"/>
      <c r="I2222" s="229"/>
      <c r="J2222" s="229"/>
      <c r="K2222" s="229"/>
      <c r="L2222" s="229"/>
      <c r="M2222" s="229"/>
      <c r="N2222" s="232"/>
    </row>
    <row r="2223" hidden="1" spans="1:14">
      <c r="A2223" s="235"/>
      <c r="B2223" s="230" t="s">
        <v>1036</v>
      </c>
      <c r="C2223" s="229">
        <v>1.318173</v>
      </c>
      <c r="D2223" s="229">
        <v>1.318173</v>
      </c>
      <c r="E2223" s="229">
        <v>1.318173</v>
      </c>
      <c r="F2223" s="229"/>
      <c r="G2223" s="229"/>
      <c r="H2223" s="229"/>
      <c r="I2223" s="229"/>
      <c r="J2223" s="229"/>
      <c r="K2223" s="229"/>
      <c r="L2223" s="229"/>
      <c r="M2223" s="229"/>
      <c r="N2223" s="232"/>
    </row>
    <row r="2224" hidden="1" spans="1:14">
      <c r="A2224" s="235"/>
      <c r="B2224" s="230" t="s">
        <v>1156</v>
      </c>
      <c r="C2224" s="229">
        <v>0.81</v>
      </c>
      <c r="D2224" s="229">
        <v>0.81</v>
      </c>
      <c r="E2224" s="229">
        <v>0.81</v>
      </c>
      <c r="F2224" s="229"/>
      <c r="G2224" s="229"/>
      <c r="H2224" s="229"/>
      <c r="I2224" s="229"/>
      <c r="J2224" s="229"/>
      <c r="K2224" s="229"/>
      <c r="L2224" s="229"/>
      <c r="M2224" s="229"/>
      <c r="N2224" s="232"/>
    </row>
    <row r="2225" hidden="1" spans="1:14">
      <c r="A2225" s="235"/>
      <c r="B2225" s="230" t="s">
        <v>1033</v>
      </c>
      <c r="C2225" s="229">
        <v>2.902624</v>
      </c>
      <c r="D2225" s="229">
        <v>2.902624</v>
      </c>
      <c r="E2225" s="229">
        <v>2.902624</v>
      </c>
      <c r="F2225" s="229"/>
      <c r="G2225" s="229"/>
      <c r="H2225" s="229"/>
      <c r="I2225" s="229"/>
      <c r="J2225" s="229"/>
      <c r="K2225" s="229"/>
      <c r="L2225" s="229"/>
      <c r="M2225" s="229"/>
      <c r="N2225" s="232"/>
    </row>
    <row r="2226" hidden="1" spans="1:14">
      <c r="A2226" s="235"/>
      <c r="B2226" s="230" t="s">
        <v>1032</v>
      </c>
      <c r="C2226" s="229">
        <v>10.984772</v>
      </c>
      <c r="D2226" s="229">
        <v>10.984772</v>
      </c>
      <c r="E2226" s="229">
        <v>10.984772</v>
      </c>
      <c r="F2226" s="229"/>
      <c r="G2226" s="229"/>
      <c r="H2226" s="229"/>
      <c r="I2226" s="229"/>
      <c r="J2226" s="229"/>
      <c r="K2226" s="229"/>
      <c r="L2226" s="229"/>
      <c r="M2226" s="229"/>
      <c r="N2226" s="232"/>
    </row>
    <row r="2227" hidden="1" spans="1:14">
      <c r="A2227" s="209">
        <v>811004</v>
      </c>
      <c r="B2227" s="230" t="s">
        <v>884</v>
      </c>
      <c r="C2227" s="229">
        <v>35.577476</v>
      </c>
      <c r="D2227" s="229">
        <v>35.577476</v>
      </c>
      <c r="E2227" s="229">
        <v>35.577476</v>
      </c>
      <c r="F2227" s="229"/>
      <c r="G2227" s="229"/>
      <c r="H2227" s="229"/>
      <c r="I2227" s="229"/>
      <c r="J2227" s="229"/>
      <c r="K2227" s="229"/>
      <c r="L2227" s="229"/>
      <c r="M2227" s="229"/>
      <c r="N2227" s="233"/>
    </row>
    <row r="2228" hidden="1" spans="1:14">
      <c r="A2228" s="235"/>
      <c r="B2228" s="230" t="s">
        <v>1036</v>
      </c>
      <c r="C2228" s="229">
        <v>2.895492</v>
      </c>
      <c r="D2228" s="229">
        <v>2.895492</v>
      </c>
      <c r="E2228" s="229">
        <v>2.895492</v>
      </c>
      <c r="F2228" s="229"/>
      <c r="G2228" s="229"/>
      <c r="H2228" s="229"/>
      <c r="I2228" s="229"/>
      <c r="J2228" s="229"/>
      <c r="K2228" s="229"/>
      <c r="L2228" s="229"/>
      <c r="M2228" s="229"/>
      <c r="N2228" s="232"/>
    </row>
    <row r="2229" hidden="1" spans="1:14">
      <c r="A2229" s="235"/>
      <c r="B2229" s="230" t="s">
        <v>1033</v>
      </c>
      <c r="C2229" s="229">
        <v>6.450302</v>
      </c>
      <c r="D2229" s="229">
        <v>6.450302</v>
      </c>
      <c r="E2229" s="229">
        <v>6.450302</v>
      </c>
      <c r="F2229" s="229"/>
      <c r="G2229" s="229"/>
      <c r="H2229" s="229"/>
      <c r="I2229" s="229"/>
      <c r="J2229" s="229"/>
      <c r="K2229" s="229"/>
      <c r="L2229" s="229"/>
      <c r="M2229" s="229"/>
      <c r="N2229" s="232"/>
    </row>
    <row r="2230" hidden="1" spans="1:14">
      <c r="A2230" s="235"/>
      <c r="B2230" s="230" t="s">
        <v>1039</v>
      </c>
      <c r="C2230" s="229">
        <v>0.482582</v>
      </c>
      <c r="D2230" s="229">
        <v>0.482582</v>
      </c>
      <c r="E2230" s="229">
        <v>0.482582</v>
      </c>
      <c r="F2230" s="229"/>
      <c r="G2230" s="229"/>
      <c r="H2230" s="229"/>
      <c r="I2230" s="229"/>
      <c r="J2230" s="229"/>
      <c r="K2230" s="229"/>
      <c r="L2230" s="229"/>
      <c r="M2230" s="229"/>
      <c r="N2230" s="232"/>
    </row>
    <row r="2231" hidden="1" spans="1:14">
      <c r="A2231" s="235"/>
      <c r="B2231" s="230" t="s">
        <v>1032</v>
      </c>
      <c r="C2231" s="229">
        <v>24.1291</v>
      </c>
      <c r="D2231" s="229">
        <v>24.1291</v>
      </c>
      <c r="E2231" s="229">
        <v>24.1291</v>
      </c>
      <c r="F2231" s="229"/>
      <c r="G2231" s="229"/>
      <c r="H2231" s="229"/>
      <c r="I2231" s="229"/>
      <c r="J2231" s="229"/>
      <c r="K2231" s="229"/>
      <c r="L2231" s="229"/>
      <c r="M2231" s="229"/>
      <c r="N2231" s="232"/>
    </row>
    <row r="2232" hidden="1" spans="1:14">
      <c r="A2232" s="235"/>
      <c r="B2232" s="230" t="s">
        <v>1029</v>
      </c>
      <c r="C2232" s="229">
        <v>1.62</v>
      </c>
      <c r="D2232" s="229">
        <v>1.62</v>
      </c>
      <c r="E2232" s="229">
        <v>1.62</v>
      </c>
      <c r="F2232" s="229"/>
      <c r="G2232" s="229"/>
      <c r="H2232" s="229"/>
      <c r="I2232" s="229"/>
      <c r="J2232" s="229"/>
      <c r="K2232" s="229"/>
      <c r="L2232" s="229"/>
      <c r="M2232" s="229"/>
      <c r="N2232" s="232"/>
    </row>
    <row r="2233" hidden="1" spans="1:14">
      <c r="A2233" s="209">
        <v>811005</v>
      </c>
      <c r="B2233" s="231" t="s">
        <v>886</v>
      </c>
      <c r="C2233" s="229">
        <v>32.84713</v>
      </c>
      <c r="D2233" s="229">
        <v>32.84713</v>
      </c>
      <c r="E2233" s="229">
        <v>32.84713</v>
      </c>
      <c r="F2233" s="229"/>
      <c r="G2233" s="229"/>
      <c r="H2233" s="229"/>
      <c r="I2233" s="229"/>
      <c r="J2233" s="229"/>
      <c r="K2233" s="229"/>
      <c r="L2233" s="229"/>
      <c r="M2233" s="229"/>
      <c r="N2233" s="233"/>
    </row>
    <row r="2234" hidden="1" spans="1:14">
      <c r="A2234" s="235"/>
      <c r="B2234" s="230" t="s">
        <v>1039</v>
      </c>
      <c r="C2234" s="229">
        <v>0.444608</v>
      </c>
      <c r="D2234" s="229">
        <v>0.444608</v>
      </c>
      <c r="E2234" s="229">
        <v>0.444608</v>
      </c>
      <c r="F2234" s="229"/>
      <c r="G2234" s="229"/>
      <c r="H2234" s="229"/>
      <c r="I2234" s="229"/>
      <c r="J2234" s="229"/>
      <c r="K2234" s="229"/>
      <c r="L2234" s="229"/>
      <c r="M2234" s="229"/>
      <c r="N2234" s="232"/>
    </row>
    <row r="2235" hidden="1" spans="1:14">
      <c r="A2235" s="235"/>
      <c r="B2235" s="230" t="s">
        <v>1036</v>
      </c>
      <c r="C2235" s="229">
        <v>2.667648</v>
      </c>
      <c r="D2235" s="229">
        <v>2.667648</v>
      </c>
      <c r="E2235" s="229">
        <v>2.667648</v>
      </c>
      <c r="F2235" s="229"/>
      <c r="G2235" s="229"/>
      <c r="H2235" s="229"/>
      <c r="I2235" s="229"/>
      <c r="J2235" s="229"/>
      <c r="K2235" s="229"/>
      <c r="L2235" s="229"/>
      <c r="M2235" s="229"/>
      <c r="N2235" s="232"/>
    </row>
    <row r="2236" hidden="1" spans="1:14">
      <c r="A2236" s="235"/>
      <c r="B2236" s="230" t="s">
        <v>1032</v>
      </c>
      <c r="C2236" s="229">
        <v>22.2304</v>
      </c>
      <c r="D2236" s="229">
        <v>22.2304</v>
      </c>
      <c r="E2236" s="229">
        <v>22.2304</v>
      </c>
      <c r="F2236" s="229"/>
      <c r="G2236" s="229"/>
      <c r="H2236" s="229"/>
      <c r="I2236" s="229"/>
      <c r="J2236" s="229"/>
      <c r="K2236" s="229"/>
      <c r="L2236" s="229"/>
      <c r="M2236" s="229"/>
      <c r="N2236" s="232"/>
    </row>
    <row r="2237" hidden="1" spans="1:14">
      <c r="A2237" s="235"/>
      <c r="B2237" s="230" t="s">
        <v>1033</v>
      </c>
      <c r="C2237" s="229">
        <v>5.884474</v>
      </c>
      <c r="D2237" s="229">
        <v>5.884474</v>
      </c>
      <c r="E2237" s="229">
        <v>5.884474</v>
      </c>
      <c r="F2237" s="229"/>
      <c r="G2237" s="229"/>
      <c r="H2237" s="229"/>
      <c r="I2237" s="229"/>
      <c r="J2237" s="229"/>
      <c r="K2237" s="229"/>
      <c r="L2237" s="229"/>
      <c r="M2237" s="229"/>
      <c r="N2237" s="232"/>
    </row>
    <row r="2238" hidden="1" spans="1:14">
      <c r="A2238" s="235"/>
      <c r="B2238" s="230" t="s">
        <v>1029</v>
      </c>
      <c r="C2238" s="229">
        <v>1.62</v>
      </c>
      <c r="D2238" s="229">
        <v>1.62</v>
      </c>
      <c r="E2238" s="229">
        <v>1.62</v>
      </c>
      <c r="F2238" s="229"/>
      <c r="G2238" s="229"/>
      <c r="H2238" s="229"/>
      <c r="I2238" s="229"/>
      <c r="J2238" s="229"/>
      <c r="K2238" s="229"/>
      <c r="L2238" s="229"/>
      <c r="M2238" s="229"/>
      <c r="N2238" s="232"/>
    </row>
    <row r="2239" hidden="1" spans="1:14">
      <c r="A2239" s="209">
        <v>812001</v>
      </c>
      <c r="B2239" s="231" t="s">
        <v>889</v>
      </c>
      <c r="C2239" s="229">
        <v>1336.909057</v>
      </c>
      <c r="D2239" s="229">
        <v>1336.909057</v>
      </c>
      <c r="E2239" s="229">
        <v>1336.909057</v>
      </c>
      <c r="F2239" s="229"/>
      <c r="G2239" s="229"/>
      <c r="H2239" s="229"/>
      <c r="I2239" s="229"/>
      <c r="J2239" s="229"/>
      <c r="K2239" s="229"/>
      <c r="L2239" s="229"/>
      <c r="M2239" s="229"/>
      <c r="N2239" s="233"/>
    </row>
    <row r="2240" hidden="1" spans="1:14">
      <c r="A2240" s="235"/>
      <c r="B2240" s="230" t="s">
        <v>1036</v>
      </c>
      <c r="C2240" s="229">
        <v>86.634398</v>
      </c>
      <c r="D2240" s="229">
        <v>86.634398</v>
      </c>
      <c r="E2240" s="229">
        <v>86.634398</v>
      </c>
      <c r="F2240" s="229"/>
      <c r="G2240" s="229"/>
      <c r="H2240" s="229"/>
      <c r="I2240" s="229"/>
      <c r="J2240" s="229"/>
      <c r="K2240" s="229"/>
      <c r="L2240" s="229"/>
      <c r="M2240" s="229"/>
      <c r="N2240" s="232"/>
    </row>
    <row r="2241" hidden="1" spans="1:14">
      <c r="A2241" s="235"/>
      <c r="B2241" s="230" t="s">
        <v>1033</v>
      </c>
      <c r="C2241" s="229">
        <v>215.158815</v>
      </c>
      <c r="D2241" s="229">
        <v>215.158815</v>
      </c>
      <c r="E2241" s="229">
        <v>215.158815</v>
      </c>
      <c r="F2241" s="229"/>
      <c r="G2241" s="229"/>
      <c r="H2241" s="229"/>
      <c r="I2241" s="229"/>
      <c r="J2241" s="229"/>
      <c r="K2241" s="229"/>
      <c r="L2241" s="229"/>
      <c r="M2241" s="229"/>
      <c r="N2241" s="232"/>
    </row>
    <row r="2242" hidden="1" spans="1:14">
      <c r="A2242" s="235"/>
      <c r="B2242" s="230" t="s">
        <v>1039</v>
      </c>
      <c r="C2242" s="229">
        <v>14.439066</v>
      </c>
      <c r="D2242" s="229">
        <v>14.439066</v>
      </c>
      <c r="E2242" s="229">
        <v>14.439066</v>
      </c>
      <c r="F2242" s="229"/>
      <c r="G2242" s="229"/>
      <c r="H2242" s="229"/>
      <c r="I2242" s="229"/>
      <c r="J2242" s="229"/>
      <c r="K2242" s="229"/>
      <c r="L2242" s="229"/>
      <c r="M2242" s="229"/>
      <c r="N2242" s="232"/>
    </row>
    <row r="2243" hidden="1" spans="1:14">
      <c r="A2243" s="235"/>
      <c r="B2243" s="230" t="s">
        <v>1029</v>
      </c>
      <c r="C2243" s="229">
        <v>92.988</v>
      </c>
      <c r="D2243" s="229">
        <v>92.988</v>
      </c>
      <c r="E2243" s="229">
        <v>92.988</v>
      </c>
      <c r="F2243" s="229"/>
      <c r="G2243" s="229"/>
      <c r="H2243" s="229"/>
      <c r="I2243" s="229"/>
      <c r="J2243" s="229"/>
      <c r="K2243" s="229"/>
      <c r="L2243" s="229"/>
      <c r="M2243" s="229"/>
      <c r="N2243" s="232"/>
    </row>
    <row r="2244" hidden="1" spans="1:14">
      <c r="A2244" s="235"/>
      <c r="B2244" s="230" t="s">
        <v>1038</v>
      </c>
      <c r="C2244" s="229">
        <v>1.12</v>
      </c>
      <c r="D2244" s="229">
        <v>1.12</v>
      </c>
      <c r="E2244" s="229">
        <v>1.12</v>
      </c>
      <c r="F2244" s="229"/>
      <c r="G2244" s="229"/>
      <c r="H2244" s="229"/>
      <c r="I2244" s="229"/>
      <c r="J2244" s="229"/>
      <c r="K2244" s="229"/>
      <c r="L2244" s="229"/>
      <c r="M2244" s="229"/>
      <c r="N2244" s="232"/>
    </row>
    <row r="2245" hidden="1" spans="1:14">
      <c r="A2245" s="235"/>
      <c r="B2245" s="230" t="s">
        <v>1031</v>
      </c>
      <c r="C2245" s="229">
        <v>35.988</v>
      </c>
      <c r="D2245" s="229">
        <v>35.988</v>
      </c>
      <c r="E2245" s="229">
        <v>35.988</v>
      </c>
      <c r="F2245" s="229"/>
      <c r="G2245" s="229"/>
      <c r="H2245" s="229"/>
      <c r="I2245" s="229"/>
      <c r="J2245" s="229"/>
      <c r="K2245" s="229"/>
      <c r="L2245" s="229"/>
      <c r="M2245" s="229"/>
      <c r="N2245" s="232"/>
    </row>
    <row r="2246" hidden="1" spans="1:14">
      <c r="A2246" s="235"/>
      <c r="B2246" s="230" t="s">
        <v>1030</v>
      </c>
      <c r="C2246" s="229">
        <v>8</v>
      </c>
      <c r="D2246" s="229">
        <v>8</v>
      </c>
      <c r="E2246" s="229">
        <v>8</v>
      </c>
      <c r="F2246" s="229"/>
      <c r="G2246" s="229"/>
      <c r="H2246" s="229"/>
      <c r="I2246" s="229"/>
      <c r="J2246" s="229"/>
      <c r="K2246" s="229"/>
      <c r="L2246" s="229"/>
      <c r="M2246" s="229"/>
      <c r="N2246" s="232"/>
    </row>
    <row r="2247" hidden="1" spans="1:14">
      <c r="A2247" s="235"/>
      <c r="B2247" s="230" t="s">
        <v>1032</v>
      </c>
      <c r="C2247" s="229">
        <v>721.95332</v>
      </c>
      <c r="D2247" s="229">
        <v>721.95332</v>
      </c>
      <c r="E2247" s="229">
        <v>721.95332</v>
      </c>
      <c r="F2247" s="229"/>
      <c r="G2247" s="229"/>
      <c r="H2247" s="229"/>
      <c r="I2247" s="229"/>
      <c r="J2247" s="229"/>
      <c r="K2247" s="229"/>
      <c r="L2247" s="229"/>
      <c r="M2247" s="229"/>
      <c r="N2247" s="232"/>
    </row>
    <row r="2248" hidden="1" spans="1:14">
      <c r="A2248" s="235"/>
      <c r="B2248" s="230" t="s">
        <v>1035</v>
      </c>
      <c r="C2248" s="229">
        <v>4.78</v>
      </c>
      <c r="D2248" s="229">
        <v>4.78</v>
      </c>
      <c r="E2248" s="229">
        <v>4.78</v>
      </c>
      <c r="F2248" s="229"/>
      <c r="G2248" s="229"/>
      <c r="H2248" s="229"/>
      <c r="I2248" s="229"/>
      <c r="J2248" s="229"/>
      <c r="K2248" s="229"/>
      <c r="L2248" s="229"/>
      <c r="M2248" s="229"/>
      <c r="N2248" s="232"/>
    </row>
    <row r="2249" hidden="1" spans="1:14">
      <c r="A2249" s="235"/>
      <c r="B2249" s="230" t="s">
        <v>1028</v>
      </c>
      <c r="C2249" s="229">
        <v>152.0463</v>
      </c>
      <c r="D2249" s="229">
        <v>152.0463</v>
      </c>
      <c r="E2249" s="229">
        <v>152.0463</v>
      </c>
      <c r="F2249" s="229"/>
      <c r="G2249" s="229"/>
      <c r="H2249" s="229"/>
      <c r="I2249" s="229"/>
      <c r="J2249" s="229"/>
      <c r="K2249" s="229"/>
      <c r="L2249" s="229"/>
      <c r="M2249" s="229"/>
      <c r="N2249" s="232"/>
    </row>
    <row r="2250" hidden="1" spans="1:14">
      <c r="A2250" s="235"/>
      <c r="B2250" s="230" t="s">
        <v>1037</v>
      </c>
      <c r="C2250" s="229">
        <v>3.801158</v>
      </c>
      <c r="D2250" s="229">
        <v>3.801158</v>
      </c>
      <c r="E2250" s="229">
        <v>3.801158</v>
      </c>
      <c r="F2250" s="229"/>
      <c r="G2250" s="229"/>
      <c r="H2250" s="229"/>
      <c r="I2250" s="229"/>
      <c r="J2250" s="229"/>
      <c r="K2250" s="229"/>
      <c r="L2250" s="229"/>
      <c r="M2250" s="229"/>
      <c r="N2250" s="232"/>
    </row>
    <row r="2251" hidden="1" spans="1:14">
      <c r="A2251" s="209">
        <v>812002</v>
      </c>
      <c r="B2251" s="231" t="s">
        <v>891</v>
      </c>
      <c r="C2251" s="229">
        <v>251.428884</v>
      </c>
      <c r="D2251" s="229">
        <v>251.428884</v>
      </c>
      <c r="E2251" s="229">
        <v>251.428884</v>
      </c>
      <c r="F2251" s="229"/>
      <c r="G2251" s="229"/>
      <c r="H2251" s="229"/>
      <c r="I2251" s="229"/>
      <c r="J2251" s="229"/>
      <c r="K2251" s="229"/>
      <c r="L2251" s="229"/>
      <c r="M2251" s="229"/>
      <c r="N2251" s="233"/>
    </row>
    <row r="2252" hidden="1" spans="1:14">
      <c r="A2252" s="235"/>
      <c r="B2252" s="230" t="s">
        <v>1029</v>
      </c>
      <c r="C2252" s="229">
        <v>11.34</v>
      </c>
      <c r="D2252" s="229">
        <v>11.34</v>
      </c>
      <c r="E2252" s="229">
        <v>11.34</v>
      </c>
      <c r="F2252" s="229"/>
      <c r="G2252" s="229"/>
      <c r="H2252" s="229"/>
      <c r="I2252" s="229"/>
      <c r="J2252" s="229"/>
      <c r="K2252" s="229"/>
      <c r="L2252" s="229"/>
      <c r="M2252" s="229"/>
      <c r="N2252" s="232"/>
    </row>
    <row r="2253" hidden="1" spans="1:14">
      <c r="A2253" s="235"/>
      <c r="B2253" s="230" t="s">
        <v>1037</v>
      </c>
      <c r="C2253" s="229">
        <v>0.294</v>
      </c>
      <c r="D2253" s="229">
        <v>0.294</v>
      </c>
      <c r="E2253" s="229">
        <v>0.294</v>
      </c>
      <c r="F2253" s="229"/>
      <c r="G2253" s="229"/>
      <c r="H2253" s="229"/>
      <c r="I2253" s="229"/>
      <c r="J2253" s="229"/>
      <c r="K2253" s="229"/>
      <c r="L2253" s="229"/>
      <c r="M2253" s="229"/>
      <c r="N2253" s="232"/>
    </row>
    <row r="2254" hidden="1" spans="1:14">
      <c r="A2254" s="235"/>
      <c r="B2254" s="230" t="s">
        <v>1039</v>
      </c>
      <c r="C2254" s="229">
        <v>3.192004</v>
      </c>
      <c r="D2254" s="229">
        <v>3.192004</v>
      </c>
      <c r="E2254" s="229">
        <v>3.192004</v>
      </c>
      <c r="F2254" s="229"/>
      <c r="G2254" s="229"/>
      <c r="H2254" s="229"/>
      <c r="I2254" s="229"/>
      <c r="J2254" s="229"/>
      <c r="K2254" s="229"/>
      <c r="L2254" s="229"/>
      <c r="M2254" s="229"/>
      <c r="N2254" s="232"/>
    </row>
    <row r="2255" hidden="1" spans="1:14">
      <c r="A2255" s="235"/>
      <c r="B2255" s="230" t="s">
        <v>1032</v>
      </c>
      <c r="C2255" s="229">
        <v>159.6002</v>
      </c>
      <c r="D2255" s="229">
        <v>159.6002</v>
      </c>
      <c r="E2255" s="229">
        <v>159.6002</v>
      </c>
      <c r="F2255" s="229"/>
      <c r="G2255" s="229"/>
      <c r="H2255" s="229"/>
      <c r="I2255" s="229"/>
      <c r="J2255" s="229"/>
      <c r="K2255" s="229"/>
      <c r="L2255" s="229"/>
      <c r="M2255" s="229"/>
      <c r="N2255" s="232"/>
    </row>
    <row r="2256" hidden="1" spans="1:14">
      <c r="A2256" s="235"/>
      <c r="B2256" s="230" t="s">
        <v>1031</v>
      </c>
      <c r="C2256" s="229">
        <v>0.66</v>
      </c>
      <c r="D2256" s="229">
        <v>0.66</v>
      </c>
      <c r="E2256" s="229">
        <v>0.66</v>
      </c>
      <c r="F2256" s="229"/>
      <c r="G2256" s="229"/>
      <c r="H2256" s="229"/>
      <c r="I2256" s="229"/>
      <c r="J2256" s="229"/>
      <c r="K2256" s="229"/>
      <c r="L2256" s="229"/>
      <c r="M2256" s="229"/>
      <c r="N2256" s="232"/>
    </row>
    <row r="2257" hidden="1" spans="1:14">
      <c r="A2257" s="235"/>
      <c r="B2257" s="230" t="s">
        <v>1038</v>
      </c>
      <c r="C2257" s="229">
        <v>0.12</v>
      </c>
      <c r="D2257" s="229">
        <v>0.12</v>
      </c>
      <c r="E2257" s="229">
        <v>0.12</v>
      </c>
      <c r="F2257" s="229"/>
      <c r="G2257" s="229"/>
      <c r="H2257" s="229"/>
      <c r="I2257" s="229"/>
      <c r="J2257" s="229"/>
      <c r="K2257" s="229"/>
      <c r="L2257" s="229"/>
      <c r="M2257" s="229"/>
      <c r="N2257" s="232"/>
    </row>
    <row r="2258" hidden="1" spans="1:14">
      <c r="A2258" s="235"/>
      <c r="B2258" s="230" t="s">
        <v>1028</v>
      </c>
      <c r="C2258" s="229">
        <v>11.76</v>
      </c>
      <c r="D2258" s="229">
        <v>11.76</v>
      </c>
      <c r="E2258" s="229">
        <v>11.76</v>
      </c>
      <c r="F2258" s="229"/>
      <c r="G2258" s="229"/>
      <c r="H2258" s="229"/>
      <c r="I2258" s="229"/>
      <c r="J2258" s="229"/>
      <c r="K2258" s="229"/>
      <c r="L2258" s="229"/>
      <c r="M2258" s="229"/>
      <c r="N2258" s="232"/>
    </row>
    <row r="2259" hidden="1" spans="1:14">
      <c r="A2259" s="235"/>
      <c r="B2259" s="230" t="s">
        <v>1036</v>
      </c>
      <c r="C2259" s="229">
        <v>19.152024</v>
      </c>
      <c r="D2259" s="229">
        <v>19.152024</v>
      </c>
      <c r="E2259" s="229">
        <v>19.152024</v>
      </c>
      <c r="F2259" s="229"/>
      <c r="G2259" s="229"/>
      <c r="H2259" s="229"/>
      <c r="I2259" s="229"/>
      <c r="J2259" s="229"/>
      <c r="K2259" s="229"/>
      <c r="L2259" s="229"/>
      <c r="M2259" s="229"/>
      <c r="N2259" s="232"/>
    </row>
    <row r="2260" hidden="1" spans="1:14">
      <c r="A2260" s="235"/>
      <c r="B2260" s="230" t="s">
        <v>1035</v>
      </c>
      <c r="C2260" s="229">
        <v>0.4</v>
      </c>
      <c r="D2260" s="229">
        <v>0.4</v>
      </c>
      <c r="E2260" s="229">
        <v>0.4</v>
      </c>
      <c r="F2260" s="229"/>
      <c r="G2260" s="229"/>
      <c r="H2260" s="229"/>
      <c r="I2260" s="229"/>
      <c r="J2260" s="229"/>
      <c r="K2260" s="229"/>
      <c r="L2260" s="229"/>
      <c r="M2260" s="229"/>
      <c r="N2260" s="232"/>
    </row>
    <row r="2261" hidden="1" spans="1:14">
      <c r="A2261" s="235"/>
      <c r="B2261" s="230" t="s">
        <v>1033</v>
      </c>
      <c r="C2261" s="229">
        <v>44.910656</v>
      </c>
      <c r="D2261" s="229">
        <v>44.910656</v>
      </c>
      <c r="E2261" s="229">
        <v>44.910656</v>
      </c>
      <c r="F2261" s="229"/>
      <c r="G2261" s="229"/>
      <c r="H2261" s="229"/>
      <c r="I2261" s="229"/>
      <c r="J2261" s="229"/>
      <c r="K2261" s="229"/>
      <c r="L2261" s="229"/>
      <c r="M2261" s="229"/>
      <c r="N2261" s="232"/>
    </row>
    <row r="2262" hidden="1" spans="1:14">
      <c r="A2262" s="209">
        <v>812003</v>
      </c>
      <c r="B2262" s="231" t="s">
        <v>893</v>
      </c>
      <c r="C2262" s="229">
        <v>17.76869</v>
      </c>
      <c r="D2262" s="229">
        <v>17.76869</v>
      </c>
      <c r="E2262" s="229">
        <v>17.76869</v>
      </c>
      <c r="F2262" s="229"/>
      <c r="G2262" s="229"/>
      <c r="H2262" s="229"/>
      <c r="I2262" s="229"/>
      <c r="J2262" s="229"/>
      <c r="K2262" s="229"/>
      <c r="L2262" s="229"/>
      <c r="M2262" s="229"/>
      <c r="N2262" s="233"/>
    </row>
    <row r="2263" hidden="1" spans="1:14">
      <c r="A2263" s="235"/>
      <c r="B2263" s="230" t="s">
        <v>1029</v>
      </c>
      <c r="C2263" s="229">
        <v>0.81</v>
      </c>
      <c r="D2263" s="229">
        <v>0.81</v>
      </c>
      <c r="E2263" s="229">
        <v>0.81</v>
      </c>
      <c r="F2263" s="229"/>
      <c r="G2263" s="229"/>
      <c r="H2263" s="229"/>
      <c r="I2263" s="229"/>
      <c r="J2263" s="229"/>
      <c r="K2263" s="229"/>
      <c r="L2263" s="229"/>
      <c r="M2263" s="229"/>
      <c r="N2263" s="232"/>
    </row>
    <row r="2264" hidden="1" spans="1:14">
      <c r="A2264" s="235"/>
      <c r="B2264" s="230" t="s">
        <v>1033</v>
      </c>
      <c r="C2264" s="229">
        <v>3.087686</v>
      </c>
      <c r="D2264" s="229">
        <v>3.087686</v>
      </c>
      <c r="E2264" s="229">
        <v>3.087686</v>
      </c>
      <c r="F2264" s="229"/>
      <c r="G2264" s="229"/>
      <c r="H2264" s="229"/>
      <c r="I2264" s="229"/>
      <c r="J2264" s="229"/>
      <c r="K2264" s="229"/>
      <c r="L2264" s="229"/>
      <c r="M2264" s="229"/>
      <c r="N2264" s="232"/>
    </row>
    <row r="2265" hidden="1" spans="1:14">
      <c r="A2265" s="235"/>
      <c r="B2265" s="230" t="s">
        <v>1032</v>
      </c>
      <c r="C2265" s="229">
        <v>11.5886</v>
      </c>
      <c r="D2265" s="229">
        <v>11.5886</v>
      </c>
      <c r="E2265" s="229">
        <v>11.5886</v>
      </c>
      <c r="F2265" s="229"/>
      <c r="G2265" s="229"/>
      <c r="H2265" s="229"/>
      <c r="I2265" s="229"/>
      <c r="J2265" s="229"/>
      <c r="K2265" s="229"/>
      <c r="L2265" s="229"/>
      <c r="M2265" s="229"/>
      <c r="N2265" s="232"/>
    </row>
    <row r="2266" hidden="1" spans="1:14">
      <c r="A2266" s="235"/>
      <c r="B2266" s="230" t="s">
        <v>1031</v>
      </c>
      <c r="C2266" s="229">
        <v>0.66</v>
      </c>
      <c r="D2266" s="229">
        <v>0.66</v>
      </c>
      <c r="E2266" s="229">
        <v>0.66</v>
      </c>
      <c r="F2266" s="229"/>
      <c r="G2266" s="229"/>
      <c r="H2266" s="229"/>
      <c r="I2266" s="229"/>
      <c r="J2266" s="229"/>
      <c r="K2266" s="229"/>
      <c r="L2266" s="229"/>
      <c r="M2266" s="229"/>
      <c r="N2266" s="232"/>
    </row>
    <row r="2267" hidden="1" spans="1:14">
      <c r="A2267" s="235"/>
      <c r="B2267" s="230" t="s">
        <v>1039</v>
      </c>
      <c r="C2267" s="229">
        <v>0.231772</v>
      </c>
      <c r="D2267" s="229">
        <v>0.231772</v>
      </c>
      <c r="E2267" s="229">
        <v>0.231772</v>
      </c>
      <c r="F2267" s="229"/>
      <c r="G2267" s="229"/>
      <c r="H2267" s="229"/>
      <c r="I2267" s="229"/>
      <c r="J2267" s="229"/>
      <c r="K2267" s="229"/>
      <c r="L2267" s="229"/>
      <c r="M2267" s="229"/>
      <c r="N2267" s="232"/>
    </row>
    <row r="2268" hidden="1" spans="1:14">
      <c r="A2268" s="235"/>
      <c r="B2268" s="230" t="s">
        <v>1036</v>
      </c>
      <c r="C2268" s="229">
        <v>1.390632</v>
      </c>
      <c r="D2268" s="229">
        <v>1.390632</v>
      </c>
      <c r="E2268" s="229">
        <v>1.390632</v>
      </c>
      <c r="F2268" s="229"/>
      <c r="G2268" s="229"/>
      <c r="H2268" s="229"/>
      <c r="I2268" s="229"/>
      <c r="J2268" s="229"/>
      <c r="K2268" s="229"/>
      <c r="L2268" s="229"/>
      <c r="M2268" s="229"/>
      <c r="N2268" s="232"/>
    </row>
    <row r="2269" hidden="1" spans="1:14">
      <c r="A2269" s="209">
        <v>812004</v>
      </c>
      <c r="B2269" s="231" t="s">
        <v>895</v>
      </c>
      <c r="C2269" s="229">
        <v>99.785981</v>
      </c>
      <c r="D2269" s="229">
        <v>99.785981</v>
      </c>
      <c r="E2269" s="229">
        <v>99.785981</v>
      </c>
      <c r="F2269" s="229"/>
      <c r="G2269" s="229"/>
      <c r="H2269" s="229"/>
      <c r="I2269" s="229"/>
      <c r="J2269" s="229"/>
      <c r="K2269" s="229"/>
      <c r="L2269" s="229"/>
      <c r="M2269" s="229"/>
      <c r="N2269" s="233"/>
    </row>
    <row r="2270" hidden="1" spans="1:14">
      <c r="A2270" s="235"/>
      <c r="B2270" s="230" t="s">
        <v>1031</v>
      </c>
      <c r="C2270" s="229">
        <v>0.66</v>
      </c>
      <c r="D2270" s="229">
        <v>0.66</v>
      </c>
      <c r="E2270" s="229">
        <v>0.66</v>
      </c>
      <c r="F2270" s="229"/>
      <c r="G2270" s="229"/>
      <c r="H2270" s="229"/>
      <c r="I2270" s="229"/>
      <c r="J2270" s="229"/>
      <c r="K2270" s="229"/>
      <c r="L2270" s="229"/>
      <c r="M2270" s="229"/>
      <c r="N2270" s="232"/>
    </row>
    <row r="2271" hidden="1" spans="1:14">
      <c r="A2271" s="235"/>
      <c r="B2271" s="230" t="s">
        <v>1033</v>
      </c>
      <c r="C2271" s="229">
        <v>17.759213</v>
      </c>
      <c r="D2271" s="229">
        <v>17.759213</v>
      </c>
      <c r="E2271" s="229">
        <v>17.759213</v>
      </c>
      <c r="F2271" s="229"/>
      <c r="G2271" s="229"/>
      <c r="H2271" s="229"/>
      <c r="I2271" s="229"/>
      <c r="J2271" s="229"/>
      <c r="K2271" s="229"/>
      <c r="L2271" s="229"/>
      <c r="M2271" s="229"/>
      <c r="N2271" s="232"/>
    </row>
    <row r="2272" hidden="1" spans="1:14">
      <c r="A2272" s="235"/>
      <c r="B2272" s="230" t="s">
        <v>1032</v>
      </c>
      <c r="C2272" s="229">
        <v>67.1112</v>
      </c>
      <c r="D2272" s="229">
        <v>67.1112</v>
      </c>
      <c r="E2272" s="229">
        <v>67.1112</v>
      </c>
      <c r="F2272" s="229"/>
      <c r="G2272" s="229"/>
      <c r="H2272" s="229"/>
      <c r="I2272" s="229"/>
      <c r="J2272" s="229"/>
      <c r="K2272" s="229"/>
      <c r="L2272" s="229"/>
      <c r="M2272" s="229"/>
      <c r="N2272" s="232"/>
    </row>
    <row r="2273" hidden="1" spans="1:14">
      <c r="A2273" s="235"/>
      <c r="B2273" s="230" t="s">
        <v>1029</v>
      </c>
      <c r="C2273" s="229">
        <v>4.86</v>
      </c>
      <c r="D2273" s="229">
        <v>4.86</v>
      </c>
      <c r="E2273" s="229">
        <v>4.86</v>
      </c>
      <c r="F2273" s="229"/>
      <c r="G2273" s="229"/>
      <c r="H2273" s="229"/>
      <c r="I2273" s="229"/>
      <c r="J2273" s="229"/>
      <c r="K2273" s="229"/>
      <c r="L2273" s="229"/>
      <c r="M2273" s="229"/>
      <c r="N2273" s="232"/>
    </row>
    <row r="2274" hidden="1" spans="1:14">
      <c r="A2274" s="235"/>
      <c r="B2274" s="230" t="s">
        <v>1036</v>
      </c>
      <c r="C2274" s="229">
        <v>8.053344</v>
      </c>
      <c r="D2274" s="229">
        <v>8.053344</v>
      </c>
      <c r="E2274" s="229">
        <v>8.053344</v>
      </c>
      <c r="F2274" s="229"/>
      <c r="G2274" s="229"/>
      <c r="H2274" s="229"/>
      <c r="I2274" s="229"/>
      <c r="J2274" s="229"/>
      <c r="K2274" s="229"/>
      <c r="L2274" s="229"/>
      <c r="M2274" s="229"/>
      <c r="N2274" s="232"/>
    </row>
    <row r="2275" hidden="1" spans="1:14">
      <c r="A2275" s="235"/>
      <c r="B2275" s="230" t="s">
        <v>1039</v>
      </c>
      <c r="C2275" s="229">
        <v>1.342224</v>
      </c>
      <c r="D2275" s="229">
        <v>1.342224</v>
      </c>
      <c r="E2275" s="229">
        <v>1.342224</v>
      </c>
      <c r="F2275" s="229"/>
      <c r="G2275" s="229"/>
      <c r="H2275" s="229"/>
      <c r="I2275" s="229"/>
      <c r="J2275" s="229"/>
      <c r="K2275" s="229"/>
      <c r="L2275" s="229"/>
      <c r="M2275" s="229"/>
      <c r="N2275" s="232"/>
    </row>
    <row r="2276" hidden="1" spans="1:14">
      <c r="A2276" s="209">
        <v>812005</v>
      </c>
      <c r="B2276" s="231" t="s">
        <v>897</v>
      </c>
      <c r="C2276" s="229">
        <v>105.099139</v>
      </c>
      <c r="D2276" s="229">
        <v>105.099139</v>
      </c>
      <c r="E2276" s="229">
        <v>105.099139</v>
      </c>
      <c r="F2276" s="229"/>
      <c r="G2276" s="229"/>
      <c r="H2276" s="229"/>
      <c r="I2276" s="229"/>
      <c r="J2276" s="229"/>
      <c r="K2276" s="229"/>
      <c r="L2276" s="229"/>
      <c r="M2276" s="229"/>
      <c r="N2276" s="233"/>
    </row>
    <row r="2277" hidden="1" spans="1:14">
      <c r="A2277" s="235"/>
      <c r="B2277" s="230" t="s">
        <v>1031</v>
      </c>
      <c r="C2277" s="229">
        <v>0.66</v>
      </c>
      <c r="D2277" s="229">
        <v>0.66</v>
      </c>
      <c r="E2277" s="229">
        <v>0.66</v>
      </c>
      <c r="F2277" s="229"/>
      <c r="G2277" s="229"/>
      <c r="H2277" s="229"/>
      <c r="I2277" s="229"/>
      <c r="J2277" s="229"/>
      <c r="K2277" s="229"/>
      <c r="L2277" s="229"/>
      <c r="M2277" s="229"/>
      <c r="N2277" s="232"/>
    </row>
    <row r="2278" hidden="1" spans="1:14">
      <c r="A2278" s="235"/>
      <c r="B2278" s="230" t="s">
        <v>1033</v>
      </c>
      <c r="C2278" s="229">
        <v>18.919987</v>
      </c>
      <c r="D2278" s="229">
        <v>18.919987</v>
      </c>
      <c r="E2278" s="229">
        <v>18.919987</v>
      </c>
      <c r="F2278" s="229"/>
      <c r="G2278" s="229"/>
      <c r="H2278" s="229"/>
      <c r="I2278" s="229"/>
      <c r="J2278" s="229"/>
      <c r="K2278" s="229"/>
      <c r="L2278" s="229"/>
      <c r="M2278" s="229"/>
      <c r="N2278" s="232"/>
    </row>
    <row r="2279" hidden="1" spans="1:14">
      <c r="A2279" s="235"/>
      <c r="B2279" s="230" t="s">
        <v>1029</v>
      </c>
      <c r="C2279" s="229">
        <v>4.617</v>
      </c>
      <c r="D2279" s="229">
        <v>4.617</v>
      </c>
      <c r="E2279" s="229">
        <v>4.617</v>
      </c>
      <c r="F2279" s="229"/>
      <c r="G2279" s="229"/>
      <c r="H2279" s="229"/>
      <c r="I2279" s="229"/>
      <c r="J2279" s="229"/>
      <c r="K2279" s="229"/>
      <c r="L2279" s="229"/>
      <c r="M2279" s="229"/>
      <c r="N2279" s="232"/>
    </row>
    <row r="2280" hidden="1" spans="1:14">
      <c r="A2280" s="235"/>
      <c r="B2280" s="230" t="s">
        <v>1032</v>
      </c>
      <c r="C2280" s="229">
        <v>70.9668</v>
      </c>
      <c r="D2280" s="229">
        <v>70.9668</v>
      </c>
      <c r="E2280" s="229">
        <v>70.9668</v>
      </c>
      <c r="F2280" s="229"/>
      <c r="G2280" s="229"/>
      <c r="H2280" s="229"/>
      <c r="I2280" s="229"/>
      <c r="J2280" s="229"/>
      <c r="K2280" s="229"/>
      <c r="L2280" s="229"/>
      <c r="M2280" s="229"/>
      <c r="N2280" s="232"/>
    </row>
    <row r="2281" hidden="1" spans="1:14">
      <c r="A2281" s="235"/>
      <c r="B2281" s="230" t="s">
        <v>1039</v>
      </c>
      <c r="C2281" s="229">
        <v>1.419336</v>
      </c>
      <c r="D2281" s="229">
        <v>1.419336</v>
      </c>
      <c r="E2281" s="229">
        <v>1.419336</v>
      </c>
      <c r="F2281" s="229"/>
      <c r="G2281" s="229"/>
      <c r="H2281" s="229"/>
      <c r="I2281" s="229"/>
      <c r="J2281" s="229"/>
      <c r="K2281" s="229"/>
      <c r="L2281" s="229"/>
      <c r="M2281" s="229"/>
      <c r="N2281" s="232"/>
    </row>
    <row r="2282" hidden="1" spans="1:14">
      <c r="A2282" s="235"/>
      <c r="B2282" s="230" t="s">
        <v>1036</v>
      </c>
      <c r="C2282" s="229">
        <v>8.516016</v>
      </c>
      <c r="D2282" s="229">
        <v>8.516016</v>
      </c>
      <c r="E2282" s="229">
        <v>8.516016</v>
      </c>
      <c r="F2282" s="229"/>
      <c r="G2282" s="229"/>
      <c r="H2282" s="229"/>
      <c r="I2282" s="229"/>
      <c r="J2282" s="229"/>
      <c r="K2282" s="229"/>
      <c r="L2282" s="229"/>
      <c r="M2282" s="229"/>
      <c r="N2282" s="232"/>
    </row>
    <row r="2283" hidden="1" spans="1:14">
      <c r="A2283" s="209">
        <v>812006</v>
      </c>
      <c r="B2283" s="231" t="s">
        <v>899</v>
      </c>
      <c r="C2283" s="229">
        <v>206.393441</v>
      </c>
      <c r="D2283" s="229">
        <v>206.393441</v>
      </c>
      <c r="E2283" s="229">
        <v>206.393441</v>
      </c>
      <c r="F2283" s="229"/>
      <c r="G2283" s="229"/>
      <c r="H2283" s="229"/>
      <c r="I2283" s="229"/>
      <c r="J2283" s="229"/>
      <c r="K2283" s="229"/>
      <c r="L2283" s="229"/>
      <c r="M2283" s="229"/>
      <c r="N2283" s="233"/>
    </row>
    <row r="2284" hidden="1" spans="1:14">
      <c r="A2284" s="235"/>
      <c r="B2284" s="230" t="s">
        <v>1028</v>
      </c>
      <c r="C2284" s="229">
        <v>5.88</v>
      </c>
      <c r="D2284" s="229">
        <v>5.88</v>
      </c>
      <c r="E2284" s="229">
        <v>5.88</v>
      </c>
      <c r="F2284" s="229"/>
      <c r="G2284" s="229"/>
      <c r="H2284" s="229"/>
      <c r="I2284" s="229"/>
      <c r="J2284" s="229"/>
      <c r="K2284" s="229"/>
      <c r="L2284" s="229"/>
      <c r="M2284" s="229"/>
      <c r="N2284" s="232"/>
    </row>
    <row r="2285" hidden="1" spans="1:14">
      <c r="A2285" s="235"/>
      <c r="B2285" s="230" t="s">
        <v>1029</v>
      </c>
      <c r="C2285" s="229">
        <v>8.424</v>
      </c>
      <c r="D2285" s="229">
        <v>8.424</v>
      </c>
      <c r="E2285" s="229">
        <v>8.424</v>
      </c>
      <c r="F2285" s="229"/>
      <c r="G2285" s="229"/>
      <c r="H2285" s="229"/>
      <c r="I2285" s="229"/>
      <c r="J2285" s="229"/>
      <c r="K2285" s="229"/>
      <c r="L2285" s="229"/>
      <c r="M2285" s="229"/>
      <c r="N2285" s="232"/>
    </row>
    <row r="2286" hidden="1" spans="1:14">
      <c r="A2286" s="235"/>
      <c r="B2286" s="230" t="s">
        <v>1033</v>
      </c>
      <c r="C2286" s="229">
        <v>37.314093</v>
      </c>
      <c r="D2286" s="229">
        <v>37.314093</v>
      </c>
      <c r="E2286" s="229">
        <v>37.314093</v>
      </c>
      <c r="F2286" s="229"/>
      <c r="G2286" s="229"/>
      <c r="H2286" s="229"/>
      <c r="I2286" s="229"/>
      <c r="J2286" s="229"/>
      <c r="K2286" s="229"/>
      <c r="L2286" s="229"/>
      <c r="M2286" s="229"/>
      <c r="N2286" s="232"/>
    </row>
    <row r="2287" hidden="1" spans="1:14">
      <c r="A2287" s="235"/>
      <c r="B2287" s="230" t="s">
        <v>1038</v>
      </c>
      <c r="C2287" s="229">
        <v>0.03</v>
      </c>
      <c r="D2287" s="229">
        <v>0.03</v>
      </c>
      <c r="E2287" s="229">
        <v>0.03</v>
      </c>
      <c r="F2287" s="229"/>
      <c r="G2287" s="229"/>
      <c r="H2287" s="229"/>
      <c r="I2287" s="229"/>
      <c r="J2287" s="229"/>
      <c r="K2287" s="229"/>
      <c r="L2287" s="229"/>
      <c r="M2287" s="229"/>
      <c r="N2287" s="232"/>
    </row>
    <row r="2288" hidden="1" spans="1:14">
      <c r="A2288" s="235"/>
      <c r="B2288" s="230" t="s">
        <v>1039</v>
      </c>
      <c r="C2288" s="229">
        <v>2.697164</v>
      </c>
      <c r="D2288" s="229">
        <v>2.697164</v>
      </c>
      <c r="E2288" s="229">
        <v>2.697164</v>
      </c>
      <c r="F2288" s="229"/>
      <c r="G2288" s="229"/>
      <c r="H2288" s="229"/>
      <c r="I2288" s="229"/>
      <c r="J2288" s="229"/>
      <c r="K2288" s="229"/>
      <c r="L2288" s="229"/>
      <c r="M2288" s="229"/>
      <c r="N2288" s="232"/>
    </row>
    <row r="2289" hidden="1" spans="1:14">
      <c r="A2289" s="235"/>
      <c r="B2289" s="230" t="s">
        <v>1037</v>
      </c>
      <c r="C2289" s="229">
        <v>0.147</v>
      </c>
      <c r="D2289" s="229">
        <v>0.147</v>
      </c>
      <c r="E2289" s="229">
        <v>0.147</v>
      </c>
      <c r="F2289" s="229"/>
      <c r="G2289" s="229"/>
      <c r="H2289" s="229"/>
      <c r="I2289" s="229"/>
      <c r="J2289" s="229"/>
      <c r="K2289" s="229"/>
      <c r="L2289" s="229"/>
      <c r="M2289" s="229"/>
      <c r="N2289" s="232"/>
    </row>
    <row r="2290" hidden="1" spans="1:14">
      <c r="A2290" s="235"/>
      <c r="B2290" s="230" t="s">
        <v>1035</v>
      </c>
      <c r="C2290" s="229">
        <v>0.2</v>
      </c>
      <c r="D2290" s="229">
        <v>0.2</v>
      </c>
      <c r="E2290" s="229">
        <v>0.2</v>
      </c>
      <c r="F2290" s="229"/>
      <c r="G2290" s="229"/>
      <c r="H2290" s="229"/>
      <c r="I2290" s="229"/>
      <c r="J2290" s="229"/>
      <c r="K2290" s="229"/>
      <c r="L2290" s="229"/>
      <c r="M2290" s="229"/>
      <c r="N2290" s="232"/>
    </row>
    <row r="2291" hidden="1" spans="1:14">
      <c r="A2291" s="235"/>
      <c r="B2291" s="230" t="s">
        <v>1036</v>
      </c>
      <c r="C2291" s="229">
        <v>16.182984</v>
      </c>
      <c r="D2291" s="229">
        <v>16.182984</v>
      </c>
      <c r="E2291" s="229">
        <v>16.182984</v>
      </c>
      <c r="F2291" s="229"/>
      <c r="G2291" s="229"/>
      <c r="H2291" s="229"/>
      <c r="I2291" s="229"/>
      <c r="J2291" s="229"/>
      <c r="K2291" s="229"/>
      <c r="L2291" s="229"/>
      <c r="M2291" s="229"/>
      <c r="N2291" s="232"/>
    </row>
    <row r="2292" hidden="1" spans="1:14">
      <c r="A2292" s="235"/>
      <c r="B2292" s="230" t="s">
        <v>1031</v>
      </c>
      <c r="C2292" s="229">
        <v>0.66</v>
      </c>
      <c r="D2292" s="229">
        <v>0.66</v>
      </c>
      <c r="E2292" s="229">
        <v>0.66</v>
      </c>
      <c r="F2292" s="229"/>
      <c r="G2292" s="229"/>
      <c r="H2292" s="229"/>
      <c r="I2292" s="229"/>
      <c r="J2292" s="229"/>
      <c r="K2292" s="229"/>
      <c r="L2292" s="229"/>
      <c r="M2292" s="229"/>
      <c r="N2292" s="232"/>
    </row>
    <row r="2293" hidden="1" spans="1:14">
      <c r="A2293" s="235"/>
      <c r="B2293" s="230" t="s">
        <v>1032</v>
      </c>
      <c r="C2293" s="229">
        <v>134.8582</v>
      </c>
      <c r="D2293" s="229">
        <v>134.8582</v>
      </c>
      <c r="E2293" s="229">
        <v>134.8582</v>
      </c>
      <c r="F2293" s="229"/>
      <c r="G2293" s="229"/>
      <c r="H2293" s="229"/>
      <c r="I2293" s="229"/>
      <c r="J2293" s="229"/>
      <c r="K2293" s="229"/>
      <c r="L2293" s="229"/>
      <c r="M2293" s="229"/>
      <c r="N2293" s="232"/>
    </row>
    <row r="2294" hidden="1" spans="1:14">
      <c r="A2294" s="209">
        <v>812007</v>
      </c>
      <c r="B2294" s="231" t="s">
        <v>901</v>
      </c>
      <c r="C2294" s="229">
        <v>33.50963</v>
      </c>
      <c r="D2294" s="229">
        <v>33.50963</v>
      </c>
      <c r="E2294" s="229">
        <v>33.50963</v>
      </c>
      <c r="F2294" s="229"/>
      <c r="G2294" s="229"/>
      <c r="H2294" s="229"/>
      <c r="I2294" s="229"/>
      <c r="J2294" s="229"/>
      <c r="K2294" s="229"/>
      <c r="L2294" s="229"/>
      <c r="M2294" s="229"/>
      <c r="N2294" s="233"/>
    </row>
    <row r="2295" hidden="1" spans="1:14">
      <c r="A2295" s="235"/>
      <c r="B2295" s="230" t="s">
        <v>1033</v>
      </c>
      <c r="C2295" s="229">
        <v>6.025766</v>
      </c>
      <c r="D2295" s="229">
        <v>6.025766</v>
      </c>
      <c r="E2295" s="229">
        <v>6.025766</v>
      </c>
      <c r="F2295" s="229"/>
      <c r="G2295" s="229"/>
      <c r="H2295" s="229"/>
      <c r="I2295" s="229"/>
      <c r="J2295" s="229"/>
      <c r="K2295" s="229"/>
      <c r="L2295" s="229"/>
      <c r="M2295" s="229"/>
      <c r="N2295" s="232"/>
    </row>
    <row r="2296" hidden="1" spans="1:14">
      <c r="A2296" s="235"/>
      <c r="B2296" s="230" t="s">
        <v>1036</v>
      </c>
      <c r="C2296" s="229">
        <v>2.722512</v>
      </c>
      <c r="D2296" s="229">
        <v>2.722512</v>
      </c>
      <c r="E2296" s="229">
        <v>2.722512</v>
      </c>
      <c r="F2296" s="229"/>
      <c r="G2296" s="229"/>
      <c r="H2296" s="229"/>
      <c r="I2296" s="229"/>
      <c r="J2296" s="229"/>
      <c r="K2296" s="229"/>
      <c r="L2296" s="229"/>
      <c r="M2296" s="229"/>
      <c r="N2296" s="232"/>
    </row>
    <row r="2297" hidden="1" spans="1:14">
      <c r="A2297" s="235"/>
      <c r="B2297" s="230" t="s">
        <v>1029</v>
      </c>
      <c r="C2297" s="229">
        <v>1.62</v>
      </c>
      <c r="D2297" s="229">
        <v>1.62</v>
      </c>
      <c r="E2297" s="229">
        <v>1.62</v>
      </c>
      <c r="F2297" s="229"/>
      <c r="G2297" s="229"/>
      <c r="H2297" s="229"/>
      <c r="I2297" s="229"/>
      <c r="J2297" s="229"/>
      <c r="K2297" s="229"/>
      <c r="L2297" s="229"/>
      <c r="M2297" s="229"/>
      <c r="N2297" s="232"/>
    </row>
    <row r="2298" hidden="1" spans="1:14">
      <c r="A2298" s="235"/>
      <c r="B2298" s="230" t="s">
        <v>1039</v>
      </c>
      <c r="C2298" s="229">
        <v>0.453752</v>
      </c>
      <c r="D2298" s="229">
        <v>0.453752</v>
      </c>
      <c r="E2298" s="229">
        <v>0.453752</v>
      </c>
      <c r="F2298" s="229"/>
      <c r="G2298" s="229"/>
      <c r="H2298" s="229"/>
      <c r="I2298" s="229"/>
      <c r="J2298" s="229"/>
      <c r="K2298" s="229"/>
      <c r="L2298" s="229"/>
      <c r="M2298" s="229"/>
      <c r="N2298" s="232"/>
    </row>
    <row r="2299" hidden="1" spans="1:14">
      <c r="A2299" s="235"/>
      <c r="B2299" s="230" t="s">
        <v>1032</v>
      </c>
      <c r="C2299" s="229">
        <v>22.6876</v>
      </c>
      <c r="D2299" s="229">
        <v>22.6876</v>
      </c>
      <c r="E2299" s="229">
        <v>22.6876</v>
      </c>
      <c r="F2299" s="229"/>
      <c r="G2299" s="229"/>
      <c r="H2299" s="229"/>
      <c r="I2299" s="229"/>
      <c r="J2299" s="229"/>
      <c r="K2299" s="229"/>
      <c r="L2299" s="229"/>
      <c r="M2299" s="229"/>
      <c r="N2299" s="232"/>
    </row>
    <row r="2300" hidden="1" spans="1:14">
      <c r="A2300" s="209">
        <v>813001</v>
      </c>
      <c r="B2300" s="231" t="s">
        <v>904</v>
      </c>
      <c r="C2300" s="229">
        <v>1253.816837</v>
      </c>
      <c r="D2300" s="229">
        <v>1253.816837</v>
      </c>
      <c r="E2300" s="229">
        <v>1253.816837</v>
      </c>
      <c r="F2300" s="229"/>
      <c r="G2300" s="229"/>
      <c r="H2300" s="229"/>
      <c r="I2300" s="229"/>
      <c r="J2300" s="229"/>
      <c r="K2300" s="229"/>
      <c r="L2300" s="229"/>
      <c r="M2300" s="229"/>
      <c r="N2300" s="233"/>
    </row>
    <row r="2301" hidden="1" spans="1:14">
      <c r="A2301" s="235"/>
      <c r="B2301" s="230" t="s">
        <v>1037</v>
      </c>
      <c r="C2301" s="229">
        <v>4.497665</v>
      </c>
      <c r="D2301" s="229">
        <v>4.497665</v>
      </c>
      <c r="E2301" s="229">
        <v>4.497665</v>
      </c>
      <c r="F2301" s="229"/>
      <c r="G2301" s="229"/>
      <c r="H2301" s="229"/>
      <c r="I2301" s="229"/>
      <c r="J2301" s="229"/>
      <c r="K2301" s="229"/>
      <c r="L2301" s="229"/>
      <c r="M2301" s="229"/>
      <c r="N2301" s="232"/>
    </row>
    <row r="2302" hidden="1" spans="1:14">
      <c r="A2302" s="235"/>
      <c r="B2302" s="230" t="s">
        <v>1030</v>
      </c>
      <c r="C2302" s="229">
        <v>8</v>
      </c>
      <c r="D2302" s="229">
        <v>8</v>
      </c>
      <c r="E2302" s="229">
        <v>8</v>
      </c>
      <c r="F2302" s="229"/>
      <c r="G2302" s="229"/>
      <c r="H2302" s="229"/>
      <c r="I2302" s="229"/>
      <c r="J2302" s="229"/>
      <c r="K2302" s="229"/>
      <c r="L2302" s="229"/>
      <c r="M2302" s="229"/>
      <c r="N2302" s="232"/>
    </row>
    <row r="2303" hidden="1" spans="1:14">
      <c r="A2303" s="235"/>
      <c r="B2303" s="230" t="s">
        <v>1033</v>
      </c>
      <c r="C2303" s="229">
        <v>201.415926</v>
      </c>
      <c r="D2303" s="229">
        <v>201.415926</v>
      </c>
      <c r="E2303" s="229">
        <v>201.415926</v>
      </c>
      <c r="F2303" s="229"/>
      <c r="G2303" s="229"/>
      <c r="H2303" s="229"/>
      <c r="I2303" s="229"/>
      <c r="J2303" s="229"/>
      <c r="K2303" s="229"/>
      <c r="L2303" s="229"/>
      <c r="M2303" s="229"/>
      <c r="N2303" s="232"/>
    </row>
    <row r="2304" hidden="1" spans="1:14">
      <c r="A2304" s="235"/>
      <c r="B2304" s="230" t="s">
        <v>1031</v>
      </c>
      <c r="C2304" s="229">
        <v>31.308</v>
      </c>
      <c r="D2304" s="229">
        <v>31.308</v>
      </c>
      <c r="E2304" s="229">
        <v>31.308</v>
      </c>
      <c r="F2304" s="229"/>
      <c r="G2304" s="229"/>
      <c r="H2304" s="229"/>
      <c r="I2304" s="229"/>
      <c r="J2304" s="229"/>
      <c r="K2304" s="229"/>
      <c r="L2304" s="229"/>
      <c r="M2304" s="229"/>
      <c r="N2304" s="232"/>
    </row>
    <row r="2305" hidden="1" spans="1:14">
      <c r="A2305" s="235"/>
      <c r="B2305" s="230" t="s">
        <v>1029</v>
      </c>
      <c r="C2305" s="229">
        <v>81</v>
      </c>
      <c r="D2305" s="229">
        <v>81</v>
      </c>
      <c r="E2305" s="229">
        <v>81</v>
      </c>
      <c r="F2305" s="229"/>
      <c r="G2305" s="229"/>
      <c r="H2305" s="229"/>
      <c r="I2305" s="229"/>
      <c r="J2305" s="229"/>
      <c r="K2305" s="229"/>
      <c r="L2305" s="229"/>
      <c r="M2305" s="229"/>
      <c r="N2305" s="232"/>
    </row>
    <row r="2306" hidden="1" spans="1:14">
      <c r="A2306" s="235"/>
      <c r="B2306" s="230" t="s">
        <v>1039</v>
      </c>
      <c r="C2306" s="229">
        <v>12.654538</v>
      </c>
      <c r="D2306" s="229">
        <v>12.654538</v>
      </c>
      <c r="E2306" s="229">
        <v>12.654538</v>
      </c>
      <c r="F2306" s="229"/>
      <c r="G2306" s="229"/>
      <c r="H2306" s="229"/>
      <c r="I2306" s="229"/>
      <c r="J2306" s="229"/>
      <c r="K2306" s="229"/>
      <c r="L2306" s="229"/>
      <c r="M2306" s="229"/>
      <c r="N2306" s="232"/>
    </row>
    <row r="2307" hidden="1" spans="1:14">
      <c r="A2307" s="235"/>
      <c r="B2307" s="230" t="s">
        <v>1028</v>
      </c>
      <c r="C2307" s="229">
        <v>179.90658</v>
      </c>
      <c r="D2307" s="229">
        <v>179.90658</v>
      </c>
      <c r="E2307" s="229">
        <v>179.90658</v>
      </c>
      <c r="F2307" s="229"/>
      <c r="G2307" s="229"/>
      <c r="H2307" s="229"/>
      <c r="I2307" s="229"/>
      <c r="J2307" s="229"/>
      <c r="K2307" s="229"/>
      <c r="L2307" s="229"/>
      <c r="M2307" s="229"/>
      <c r="N2307" s="232"/>
    </row>
    <row r="2308" hidden="1" spans="1:14">
      <c r="A2308" s="235"/>
      <c r="B2308" s="230" t="s">
        <v>1034</v>
      </c>
      <c r="C2308" s="229">
        <v>20.28</v>
      </c>
      <c r="D2308" s="229">
        <v>20.28</v>
      </c>
      <c r="E2308" s="229">
        <v>20.28</v>
      </c>
      <c r="F2308" s="229"/>
      <c r="G2308" s="229"/>
      <c r="H2308" s="229"/>
      <c r="I2308" s="229"/>
      <c r="J2308" s="229"/>
      <c r="K2308" s="229"/>
      <c r="L2308" s="229"/>
      <c r="M2308" s="229"/>
      <c r="N2308" s="232"/>
    </row>
    <row r="2309" hidden="1" spans="1:14">
      <c r="A2309" s="235"/>
      <c r="B2309" s="230" t="s">
        <v>1035</v>
      </c>
      <c r="C2309" s="229">
        <v>6.1</v>
      </c>
      <c r="D2309" s="229">
        <v>6.1</v>
      </c>
      <c r="E2309" s="229">
        <v>6.1</v>
      </c>
      <c r="F2309" s="229"/>
      <c r="G2309" s="229"/>
      <c r="H2309" s="229"/>
      <c r="I2309" s="229"/>
      <c r="J2309" s="229"/>
      <c r="K2309" s="229"/>
      <c r="L2309" s="229"/>
      <c r="M2309" s="229"/>
      <c r="N2309" s="232"/>
    </row>
    <row r="2310" hidden="1" spans="1:14">
      <c r="A2310" s="235"/>
      <c r="B2310" s="230" t="s">
        <v>1036</v>
      </c>
      <c r="C2310" s="229">
        <v>75.927228</v>
      </c>
      <c r="D2310" s="229">
        <v>75.927228</v>
      </c>
      <c r="E2310" s="229">
        <v>75.927228</v>
      </c>
      <c r="F2310" s="229"/>
      <c r="G2310" s="229"/>
      <c r="H2310" s="229"/>
      <c r="I2310" s="229"/>
      <c r="J2310" s="229"/>
      <c r="K2310" s="229"/>
      <c r="L2310" s="229"/>
      <c r="M2310" s="229"/>
      <c r="N2310" s="232"/>
    </row>
    <row r="2311" hidden="1" spans="1:14">
      <c r="A2311" s="235"/>
      <c r="B2311" s="230" t="s">
        <v>1032</v>
      </c>
      <c r="C2311" s="229">
        <v>632.7269</v>
      </c>
      <c r="D2311" s="229">
        <v>632.7269</v>
      </c>
      <c r="E2311" s="229">
        <v>632.7269</v>
      </c>
      <c r="F2311" s="229"/>
      <c r="G2311" s="229"/>
      <c r="H2311" s="229"/>
      <c r="I2311" s="229"/>
      <c r="J2311" s="229"/>
      <c r="K2311" s="229"/>
      <c r="L2311" s="229"/>
      <c r="M2311" s="229"/>
      <c r="N2311" s="232"/>
    </row>
    <row r="2312" hidden="1" spans="1:14">
      <c r="A2312" s="209">
        <v>813002</v>
      </c>
      <c r="B2312" s="230" t="s">
        <v>906</v>
      </c>
      <c r="C2312" s="229">
        <v>239.663559</v>
      </c>
      <c r="D2312" s="229">
        <v>239.663559</v>
      </c>
      <c r="E2312" s="229">
        <v>239.663559</v>
      </c>
      <c r="F2312" s="229"/>
      <c r="G2312" s="229"/>
      <c r="H2312" s="229"/>
      <c r="I2312" s="229"/>
      <c r="J2312" s="229"/>
      <c r="K2312" s="229"/>
      <c r="L2312" s="229"/>
      <c r="M2312" s="229"/>
      <c r="N2312" s="233"/>
    </row>
    <row r="2313" hidden="1" spans="1:14">
      <c r="A2313" s="235"/>
      <c r="B2313" s="230" t="s">
        <v>1039</v>
      </c>
      <c r="C2313" s="229">
        <v>2.92</v>
      </c>
      <c r="D2313" s="229">
        <v>2.92</v>
      </c>
      <c r="E2313" s="229">
        <v>2.92</v>
      </c>
      <c r="F2313" s="229"/>
      <c r="G2313" s="229"/>
      <c r="H2313" s="229"/>
      <c r="I2313" s="229"/>
      <c r="J2313" s="229"/>
      <c r="K2313" s="229"/>
      <c r="L2313" s="229"/>
      <c r="M2313" s="229"/>
      <c r="N2313" s="232"/>
    </row>
    <row r="2314" hidden="1" spans="1:14">
      <c r="A2314" s="235"/>
      <c r="B2314" s="230" t="s">
        <v>1036</v>
      </c>
      <c r="C2314" s="229">
        <v>17.52</v>
      </c>
      <c r="D2314" s="229">
        <v>17.52</v>
      </c>
      <c r="E2314" s="229">
        <v>17.52</v>
      </c>
      <c r="F2314" s="229"/>
      <c r="G2314" s="229"/>
      <c r="H2314" s="229"/>
      <c r="I2314" s="229"/>
      <c r="J2314" s="229"/>
      <c r="K2314" s="229"/>
      <c r="L2314" s="229"/>
      <c r="M2314" s="229"/>
      <c r="N2314" s="232"/>
    </row>
    <row r="2315" hidden="1" spans="1:14">
      <c r="A2315" s="235"/>
      <c r="B2315" s="230" t="s">
        <v>1034</v>
      </c>
      <c r="C2315" s="229">
        <v>1.014</v>
      </c>
      <c r="D2315" s="229">
        <v>1.014</v>
      </c>
      <c r="E2315" s="229">
        <v>1.014</v>
      </c>
      <c r="F2315" s="229"/>
      <c r="G2315" s="229"/>
      <c r="H2315" s="229"/>
      <c r="I2315" s="229"/>
      <c r="J2315" s="229"/>
      <c r="K2315" s="229"/>
      <c r="L2315" s="229"/>
      <c r="M2315" s="229"/>
      <c r="N2315" s="232"/>
    </row>
    <row r="2316" hidden="1" spans="1:14">
      <c r="A2316" s="235"/>
      <c r="B2316" s="230" t="s">
        <v>1032</v>
      </c>
      <c r="C2316" s="229">
        <v>146</v>
      </c>
      <c r="D2316" s="229">
        <v>146</v>
      </c>
      <c r="E2316" s="229">
        <v>146</v>
      </c>
      <c r="F2316" s="229"/>
      <c r="G2316" s="229"/>
      <c r="H2316" s="229"/>
      <c r="I2316" s="229"/>
      <c r="J2316" s="229"/>
      <c r="K2316" s="229"/>
      <c r="L2316" s="229"/>
      <c r="M2316" s="229"/>
      <c r="N2316" s="232"/>
    </row>
    <row r="2317" hidden="1" spans="1:14">
      <c r="A2317" s="235"/>
      <c r="B2317" s="230" t="s">
        <v>1037</v>
      </c>
      <c r="C2317" s="229">
        <v>0.441</v>
      </c>
      <c r="D2317" s="229">
        <v>0.441</v>
      </c>
      <c r="E2317" s="229">
        <v>0.441</v>
      </c>
      <c r="F2317" s="229"/>
      <c r="G2317" s="229"/>
      <c r="H2317" s="229"/>
      <c r="I2317" s="229"/>
      <c r="J2317" s="229"/>
      <c r="K2317" s="229"/>
      <c r="L2317" s="229"/>
      <c r="M2317" s="229"/>
      <c r="N2317" s="232"/>
    </row>
    <row r="2318" hidden="1" spans="1:14">
      <c r="A2318" s="235"/>
      <c r="B2318" s="230" t="s">
        <v>1035</v>
      </c>
      <c r="C2318" s="229">
        <v>0.6</v>
      </c>
      <c r="D2318" s="229">
        <v>0.6</v>
      </c>
      <c r="E2318" s="229">
        <v>0.6</v>
      </c>
      <c r="F2318" s="229"/>
      <c r="G2318" s="229"/>
      <c r="H2318" s="229"/>
      <c r="I2318" s="229"/>
      <c r="J2318" s="229"/>
      <c r="K2318" s="229"/>
      <c r="L2318" s="229"/>
      <c r="M2318" s="229"/>
      <c r="N2318" s="232"/>
    </row>
    <row r="2319" hidden="1" spans="1:14">
      <c r="A2319" s="235"/>
      <c r="B2319" s="230" t="s">
        <v>1033</v>
      </c>
      <c r="C2319" s="229">
        <v>42.998559</v>
      </c>
      <c r="D2319" s="229">
        <v>42.998559</v>
      </c>
      <c r="E2319" s="229">
        <v>42.998559</v>
      </c>
      <c r="F2319" s="229"/>
      <c r="G2319" s="229"/>
      <c r="H2319" s="229"/>
      <c r="I2319" s="229"/>
      <c r="J2319" s="229"/>
      <c r="K2319" s="229"/>
      <c r="L2319" s="229"/>
      <c r="M2319" s="229"/>
      <c r="N2319" s="232"/>
    </row>
    <row r="2320" hidden="1" spans="1:14">
      <c r="A2320" s="235"/>
      <c r="B2320" s="230" t="s">
        <v>1028</v>
      </c>
      <c r="C2320" s="229">
        <v>17.64</v>
      </c>
      <c r="D2320" s="229">
        <v>17.64</v>
      </c>
      <c r="E2320" s="229">
        <v>17.64</v>
      </c>
      <c r="F2320" s="229"/>
      <c r="G2320" s="229"/>
      <c r="H2320" s="229"/>
      <c r="I2320" s="229"/>
      <c r="J2320" s="229"/>
      <c r="K2320" s="229"/>
      <c r="L2320" s="229"/>
      <c r="M2320" s="229"/>
      <c r="N2320" s="232"/>
    </row>
    <row r="2321" hidden="1" spans="1:14">
      <c r="A2321" s="235"/>
      <c r="B2321" s="230" t="s">
        <v>1029</v>
      </c>
      <c r="C2321" s="229">
        <v>10.53</v>
      </c>
      <c r="D2321" s="229">
        <v>10.53</v>
      </c>
      <c r="E2321" s="229">
        <v>10.53</v>
      </c>
      <c r="F2321" s="229"/>
      <c r="G2321" s="229"/>
      <c r="H2321" s="229"/>
      <c r="I2321" s="229"/>
      <c r="J2321" s="229"/>
      <c r="K2321" s="229"/>
      <c r="L2321" s="229"/>
      <c r="M2321" s="229"/>
      <c r="N2321" s="232"/>
    </row>
    <row r="2322" hidden="1" spans="1:14">
      <c r="A2322" s="209">
        <v>813003</v>
      </c>
      <c r="B2322" s="231" t="s">
        <v>908</v>
      </c>
      <c r="C2322" s="229">
        <v>126.647101</v>
      </c>
      <c r="D2322" s="229">
        <v>126.647101</v>
      </c>
      <c r="E2322" s="229">
        <v>126.647101</v>
      </c>
      <c r="F2322" s="229"/>
      <c r="G2322" s="229"/>
      <c r="H2322" s="229"/>
      <c r="I2322" s="229"/>
      <c r="J2322" s="229"/>
      <c r="K2322" s="229"/>
      <c r="L2322" s="229"/>
      <c r="M2322" s="229"/>
      <c r="N2322" s="233"/>
    </row>
    <row r="2323" hidden="1" spans="1:14">
      <c r="A2323" s="235"/>
      <c r="B2323" s="230" t="s">
        <v>1028</v>
      </c>
      <c r="C2323" s="229">
        <v>11.76</v>
      </c>
      <c r="D2323" s="229">
        <v>11.76</v>
      </c>
      <c r="E2323" s="229">
        <v>11.76</v>
      </c>
      <c r="F2323" s="229"/>
      <c r="G2323" s="229"/>
      <c r="H2323" s="229"/>
      <c r="I2323" s="229"/>
      <c r="J2323" s="229"/>
      <c r="K2323" s="229"/>
      <c r="L2323" s="229"/>
      <c r="M2323" s="229"/>
      <c r="N2323" s="232"/>
    </row>
    <row r="2324" hidden="1" spans="1:14">
      <c r="A2324" s="235"/>
      <c r="B2324" s="230" t="s">
        <v>1036</v>
      </c>
      <c r="C2324" s="229">
        <v>9.100224</v>
      </c>
      <c r="D2324" s="229">
        <v>9.100224</v>
      </c>
      <c r="E2324" s="229">
        <v>9.100224</v>
      </c>
      <c r="F2324" s="229"/>
      <c r="G2324" s="229"/>
      <c r="H2324" s="229"/>
      <c r="I2324" s="229"/>
      <c r="J2324" s="229"/>
      <c r="K2324" s="229"/>
      <c r="L2324" s="229"/>
      <c r="M2324" s="229"/>
      <c r="N2324" s="232"/>
    </row>
    <row r="2325" hidden="1" spans="1:14">
      <c r="A2325" s="235"/>
      <c r="B2325" s="230" t="s">
        <v>1035</v>
      </c>
      <c r="C2325" s="229">
        <v>0.4</v>
      </c>
      <c r="D2325" s="229">
        <v>0.4</v>
      </c>
      <c r="E2325" s="229">
        <v>0.4</v>
      </c>
      <c r="F2325" s="229"/>
      <c r="G2325" s="229"/>
      <c r="H2325" s="229"/>
      <c r="I2325" s="229"/>
      <c r="J2325" s="229"/>
      <c r="K2325" s="229"/>
      <c r="L2325" s="229"/>
      <c r="M2325" s="229"/>
      <c r="N2325" s="232"/>
    </row>
    <row r="2326" hidden="1" spans="1:14">
      <c r="A2326" s="235"/>
      <c r="B2326" s="230" t="s">
        <v>1029</v>
      </c>
      <c r="C2326" s="229">
        <v>4.86</v>
      </c>
      <c r="D2326" s="229">
        <v>4.86</v>
      </c>
      <c r="E2326" s="229">
        <v>4.86</v>
      </c>
      <c r="F2326" s="229"/>
      <c r="G2326" s="229"/>
      <c r="H2326" s="229"/>
      <c r="I2326" s="229"/>
      <c r="J2326" s="229"/>
      <c r="K2326" s="229"/>
      <c r="L2326" s="229"/>
      <c r="M2326" s="229"/>
      <c r="N2326" s="232"/>
    </row>
    <row r="2327" hidden="1" spans="1:14">
      <c r="A2327" s="235"/>
      <c r="B2327" s="230" t="s">
        <v>1039</v>
      </c>
      <c r="C2327" s="229">
        <v>1.516704</v>
      </c>
      <c r="D2327" s="229">
        <v>1.516704</v>
      </c>
      <c r="E2327" s="229">
        <v>1.516704</v>
      </c>
      <c r="F2327" s="229"/>
      <c r="G2327" s="229"/>
      <c r="H2327" s="229"/>
      <c r="I2327" s="229"/>
      <c r="J2327" s="229"/>
      <c r="K2327" s="229"/>
      <c r="L2327" s="229"/>
      <c r="M2327" s="229"/>
      <c r="N2327" s="232"/>
    </row>
    <row r="2328" hidden="1" spans="1:14">
      <c r="A2328" s="235"/>
      <c r="B2328" s="230" t="s">
        <v>1033</v>
      </c>
      <c r="C2328" s="229">
        <v>22.880973</v>
      </c>
      <c r="D2328" s="229">
        <v>22.880973</v>
      </c>
      <c r="E2328" s="229">
        <v>22.880973</v>
      </c>
      <c r="F2328" s="229"/>
      <c r="G2328" s="229"/>
      <c r="H2328" s="229"/>
      <c r="I2328" s="229"/>
      <c r="J2328" s="229"/>
      <c r="K2328" s="229"/>
      <c r="L2328" s="229"/>
      <c r="M2328" s="229"/>
      <c r="N2328" s="232"/>
    </row>
    <row r="2329" hidden="1" spans="1:14">
      <c r="A2329" s="235"/>
      <c r="B2329" s="230" t="s">
        <v>1032</v>
      </c>
      <c r="C2329" s="229">
        <v>75.8352</v>
      </c>
      <c r="D2329" s="229">
        <v>75.8352</v>
      </c>
      <c r="E2329" s="229">
        <v>75.8352</v>
      </c>
      <c r="F2329" s="229"/>
      <c r="G2329" s="229"/>
      <c r="H2329" s="229"/>
      <c r="I2329" s="229"/>
      <c r="J2329" s="229"/>
      <c r="K2329" s="229"/>
      <c r="L2329" s="229"/>
      <c r="M2329" s="229"/>
      <c r="N2329" s="232"/>
    </row>
    <row r="2330" hidden="1" spans="1:14">
      <c r="A2330" s="235"/>
      <c r="B2330" s="230" t="s">
        <v>1037</v>
      </c>
      <c r="C2330" s="229">
        <v>0.294</v>
      </c>
      <c r="D2330" s="229">
        <v>0.294</v>
      </c>
      <c r="E2330" s="229">
        <v>0.294</v>
      </c>
      <c r="F2330" s="229"/>
      <c r="G2330" s="229"/>
      <c r="H2330" s="229"/>
      <c r="I2330" s="229"/>
      <c r="J2330" s="229"/>
      <c r="K2330" s="229"/>
      <c r="L2330" s="229"/>
      <c r="M2330" s="229"/>
      <c r="N2330" s="232"/>
    </row>
    <row r="2331" hidden="1" spans="1:14">
      <c r="A2331" s="209">
        <v>813004</v>
      </c>
      <c r="B2331" s="231" t="s">
        <v>910</v>
      </c>
      <c r="C2331" s="229">
        <v>15.883188</v>
      </c>
      <c r="D2331" s="229">
        <v>15.883188</v>
      </c>
      <c r="E2331" s="229">
        <v>15.883188</v>
      </c>
      <c r="F2331" s="229"/>
      <c r="G2331" s="229"/>
      <c r="H2331" s="229"/>
      <c r="I2331" s="229"/>
      <c r="J2331" s="229"/>
      <c r="K2331" s="229"/>
      <c r="L2331" s="229"/>
      <c r="M2331" s="229"/>
      <c r="N2331" s="233"/>
    </row>
    <row r="2332" hidden="1" spans="1:14">
      <c r="A2332" s="235"/>
      <c r="B2332" s="230" t="s">
        <v>1039</v>
      </c>
      <c r="C2332" s="229">
        <v>0.21466</v>
      </c>
      <c r="D2332" s="229">
        <v>0.21466</v>
      </c>
      <c r="E2332" s="229">
        <v>0.21466</v>
      </c>
      <c r="F2332" s="229"/>
      <c r="G2332" s="229"/>
      <c r="H2332" s="229"/>
      <c r="I2332" s="229"/>
      <c r="J2332" s="229"/>
      <c r="K2332" s="229"/>
      <c r="L2332" s="229"/>
      <c r="M2332" s="229"/>
      <c r="N2332" s="232"/>
    </row>
    <row r="2333" hidden="1" spans="1:14">
      <c r="A2333" s="235"/>
      <c r="B2333" s="230" t="s">
        <v>1033</v>
      </c>
      <c r="C2333" s="229">
        <v>2.837568</v>
      </c>
      <c r="D2333" s="229">
        <v>2.837568</v>
      </c>
      <c r="E2333" s="229">
        <v>2.837568</v>
      </c>
      <c r="F2333" s="229"/>
      <c r="G2333" s="229"/>
      <c r="H2333" s="229"/>
      <c r="I2333" s="229"/>
      <c r="J2333" s="229"/>
      <c r="K2333" s="229"/>
      <c r="L2333" s="229"/>
      <c r="M2333" s="229"/>
      <c r="N2333" s="232"/>
    </row>
    <row r="2334" hidden="1" spans="1:14">
      <c r="A2334" s="235"/>
      <c r="B2334" s="230" t="s">
        <v>1036</v>
      </c>
      <c r="C2334" s="229">
        <v>1.28796</v>
      </c>
      <c r="D2334" s="229">
        <v>1.28796</v>
      </c>
      <c r="E2334" s="229">
        <v>1.28796</v>
      </c>
      <c r="F2334" s="229"/>
      <c r="G2334" s="229"/>
      <c r="H2334" s="229"/>
      <c r="I2334" s="229"/>
      <c r="J2334" s="229"/>
      <c r="K2334" s="229"/>
      <c r="L2334" s="229"/>
      <c r="M2334" s="229"/>
      <c r="N2334" s="232"/>
    </row>
    <row r="2335" hidden="1" spans="1:14">
      <c r="A2335" s="235"/>
      <c r="B2335" s="230" t="s">
        <v>1032</v>
      </c>
      <c r="C2335" s="229">
        <v>10.733</v>
      </c>
      <c r="D2335" s="229">
        <v>10.733</v>
      </c>
      <c r="E2335" s="229">
        <v>10.733</v>
      </c>
      <c r="F2335" s="229"/>
      <c r="G2335" s="229"/>
      <c r="H2335" s="229"/>
      <c r="I2335" s="229"/>
      <c r="J2335" s="229"/>
      <c r="K2335" s="229"/>
      <c r="L2335" s="229"/>
      <c r="M2335" s="229"/>
      <c r="N2335" s="232"/>
    </row>
    <row r="2336" hidden="1" spans="1:14">
      <c r="A2336" s="235"/>
      <c r="B2336" s="230" t="s">
        <v>1029</v>
      </c>
      <c r="C2336" s="229">
        <v>0.81</v>
      </c>
      <c r="D2336" s="229">
        <v>0.81</v>
      </c>
      <c r="E2336" s="229">
        <v>0.81</v>
      </c>
      <c r="F2336" s="229"/>
      <c r="G2336" s="229"/>
      <c r="H2336" s="229"/>
      <c r="I2336" s="229"/>
      <c r="J2336" s="229"/>
      <c r="K2336" s="229"/>
      <c r="L2336" s="229"/>
      <c r="M2336" s="229"/>
      <c r="N2336" s="232"/>
    </row>
    <row r="2337" hidden="1" spans="1:14">
      <c r="A2337" s="209">
        <v>813005</v>
      </c>
      <c r="B2337" s="230" t="s">
        <v>912</v>
      </c>
      <c r="C2337" s="229">
        <v>51.118226</v>
      </c>
      <c r="D2337" s="229">
        <v>51.118226</v>
      </c>
      <c r="E2337" s="229">
        <v>51.118226</v>
      </c>
      <c r="F2337" s="229"/>
      <c r="G2337" s="229"/>
      <c r="H2337" s="229"/>
      <c r="I2337" s="229"/>
      <c r="J2337" s="229"/>
      <c r="K2337" s="229"/>
      <c r="L2337" s="229"/>
      <c r="M2337" s="229"/>
      <c r="N2337" s="233"/>
    </row>
    <row r="2338" hidden="1" spans="1:14">
      <c r="A2338" s="235"/>
      <c r="B2338" s="230" t="s">
        <v>1033</v>
      </c>
      <c r="C2338" s="229">
        <v>9.193382</v>
      </c>
      <c r="D2338" s="229">
        <v>9.193382</v>
      </c>
      <c r="E2338" s="229">
        <v>9.193382</v>
      </c>
      <c r="F2338" s="229"/>
      <c r="G2338" s="229"/>
      <c r="H2338" s="229"/>
      <c r="I2338" s="229"/>
      <c r="J2338" s="229"/>
      <c r="K2338" s="229"/>
      <c r="L2338" s="229"/>
      <c r="M2338" s="229"/>
      <c r="N2338" s="232"/>
    </row>
    <row r="2339" hidden="1" spans="1:14">
      <c r="A2339" s="235"/>
      <c r="B2339" s="230" t="s">
        <v>1036</v>
      </c>
      <c r="C2339" s="229">
        <v>4.157352</v>
      </c>
      <c r="D2339" s="229">
        <v>4.157352</v>
      </c>
      <c r="E2339" s="229">
        <v>4.157352</v>
      </c>
      <c r="F2339" s="229"/>
      <c r="G2339" s="229"/>
      <c r="H2339" s="229"/>
      <c r="I2339" s="229"/>
      <c r="J2339" s="229"/>
      <c r="K2339" s="229"/>
      <c r="L2339" s="229"/>
      <c r="M2339" s="229"/>
      <c r="N2339" s="232"/>
    </row>
    <row r="2340" hidden="1" spans="1:14">
      <c r="A2340" s="235"/>
      <c r="B2340" s="230" t="s">
        <v>1039</v>
      </c>
      <c r="C2340" s="229">
        <v>0.692892</v>
      </c>
      <c r="D2340" s="229">
        <v>0.692892</v>
      </c>
      <c r="E2340" s="229">
        <v>0.692892</v>
      </c>
      <c r="F2340" s="229"/>
      <c r="G2340" s="229"/>
      <c r="H2340" s="229"/>
      <c r="I2340" s="229"/>
      <c r="J2340" s="229"/>
      <c r="K2340" s="229"/>
      <c r="L2340" s="229"/>
      <c r="M2340" s="229"/>
      <c r="N2340" s="232"/>
    </row>
    <row r="2341" hidden="1" spans="1:14">
      <c r="A2341" s="235"/>
      <c r="B2341" s="230" t="s">
        <v>1029</v>
      </c>
      <c r="C2341" s="229">
        <v>2.43</v>
      </c>
      <c r="D2341" s="229">
        <v>2.43</v>
      </c>
      <c r="E2341" s="229">
        <v>2.43</v>
      </c>
      <c r="F2341" s="229"/>
      <c r="G2341" s="229"/>
      <c r="H2341" s="229"/>
      <c r="I2341" s="229"/>
      <c r="J2341" s="229"/>
      <c r="K2341" s="229"/>
      <c r="L2341" s="229"/>
      <c r="M2341" s="229"/>
      <c r="N2341" s="232"/>
    </row>
    <row r="2342" hidden="1" spans="1:14">
      <c r="A2342" s="235"/>
      <c r="B2342" s="230" t="s">
        <v>1032</v>
      </c>
      <c r="C2342" s="229">
        <v>34.6446</v>
      </c>
      <c r="D2342" s="229">
        <v>34.6446</v>
      </c>
      <c r="E2342" s="229">
        <v>34.6446</v>
      </c>
      <c r="F2342" s="229"/>
      <c r="G2342" s="229"/>
      <c r="H2342" s="229"/>
      <c r="I2342" s="229"/>
      <c r="J2342" s="229"/>
      <c r="K2342" s="229"/>
      <c r="L2342" s="229"/>
      <c r="M2342" s="229"/>
      <c r="N2342" s="232"/>
    </row>
    <row r="2343" hidden="1" spans="1:14">
      <c r="A2343" s="209">
        <v>813006</v>
      </c>
      <c r="B2343" s="231" t="s">
        <v>914</v>
      </c>
      <c r="C2343" s="229">
        <v>34.18247</v>
      </c>
      <c r="D2343" s="229">
        <v>34.18247</v>
      </c>
      <c r="E2343" s="229">
        <v>34.18247</v>
      </c>
      <c r="F2343" s="229"/>
      <c r="G2343" s="229"/>
      <c r="H2343" s="229"/>
      <c r="I2343" s="229"/>
      <c r="J2343" s="229"/>
      <c r="K2343" s="229"/>
      <c r="L2343" s="229"/>
      <c r="M2343" s="229"/>
      <c r="N2343" s="233"/>
    </row>
    <row r="2344" hidden="1" spans="1:14">
      <c r="A2344" s="235"/>
      <c r="B2344" s="230" t="s">
        <v>1039</v>
      </c>
      <c r="C2344" s="229">
        <v>0.463712</v>
      </c>
      <c r="D2344" s="229">
        <v>0.463712</v>
      </c>
      <c r="E2344" s="229">
        <v>0.463712</v>
      </c>
      <c r="F2344" s="229"/>
      <c r="G2344" s="229"/>
      <c r="H2344" s="229"/>
      <c r="I2344" s="229"/>
      <c r="J2344" s="229"/>
      <c r="K2344" s="229"/>
      <c r="L2344" s="229"/>
      <c r="M2344" s="229"/>
      <c r="N2344" s="232"/>
    </row>
    <row r="2345" hidden="1" spans="1:14">
      <c r="A2345" s="235"/>
      <c r="B2345" s="230" t="s">
        <v>1029</v>
      </c>
      <c r="C2345" s="229">
        <v>1.62</v>
      </c>
      <c r="D2345" s="229">
        <v>1.62</v>
      </c>
      <c r="E2345" s="229">
        <v>1.62</v>
      </c>
      <c r="F2345" s="229"/>
      <c r="G2345" s="229"/>
      <c r="H2345" s="229"/>
      <c r="I2345" s="229"/>
      <c r="J2345" s="229"/>
      <c r="K2345" s="229"/>
      <c r="L2345" s="229"/>
      <c r="M2345" s="229"/>
      <c r="N2345" s="232"/>
    </row>
    <row r="2346" hidden="1" spans="1:14">
      <c r="A2346" s="235"/>
      <c r="B2346" s="230" t="s">
        <v>1036</v>
      </c>
      <c r="C2346" s="229">
        <v>2.782272</v>
      </c>
      <c r="D2346" s="229">
        <v>2.782272</v>
      </c>
      <c r="E2346" s="229">
        <v>2.782272</v>
      </c>
      <c r="F2346" s="229"/>
      <c r="G2346" s="229"/>
      <c r="H2346" s="229"/>
      <c r="I2346" s="229"/>
      <c r="J2346" s="229"/>
      <c r="K2346" s="229"/>
      <c r="L2346" s="229"/>
      <c r="M2346" s="229"/>
      <c r="N2346" s="232"/>
    </row>
    <row r="2347" hidden="1" spans="1:14">
      <c r="A2347" s="235"/>
      <c r="B2347" s="230" t="s">
        <v>1032</v>
      </c>
      <c r="C2347" s="229">
        <v>23.1856</v>
      </c>
      <c r="D2347" s="229">
        <v>23.1856</v>
      </c>
      <c r="E2347" s="229">
        <v>23.1856</v>
      </c>
      <c r="F2347" s="229"/>
      <c r="G2347" s="229"/>
      <c r="H2347" s="229"/>
      <c r="I2347" s="229"/>
      <c r="J2347" s="229"/>
      <c r="K2347" s="229"/>
      <c r="L2347" s="229"/>
      <c r="M2347" s="229"/>
      <c r="N2347" s="232"/>
    </row>
    <row r="2348" hidden="1" spans="1:14">
      <c r="A2348" s="235"/>
      <c r="B2348" s="230" t="s">
        <v>1033</v>
      </c>
      <c r="C2348" s="229">
        <v>6.130886</v>
      </c>
      <c r="D2348" s="229">
        <v>6.130886</v>
      </c>
      <c r="E2348" s="229">
        <v>6.130886</v>
      </c>
      <c r="F2348" s="229"/>
      <c r="G2348" s="229"/>
      <c r="H2348" s="229"/>
      <c r="I2348" s="229"/>
      <c r="J2348" s="229"/>
      <c r="K2348" s="229"/>
      <c r="L2348" s="229"/>
      <c r="M2348" s="229"/>
      <c r="N2348" s="232"/>
    </row>
    <row r="2349" hidden="1" spans="1:14">
      <c r="A2349" s="209">
        <v>813007</v>
      </c>
      <c r="B2349" s="231" t="s">
        <v>1159</v>
      </c>
      <c r="C2349" s="229">
        <v>81.186924</v>
      </c>
      <c r="D2349" s="229">
        <v>81.186924</v>
      </c>
      <c r="E2349" s="229">
        <v>81.186924</v>
      </c>
      <c r="F2349" s="229"/>
      <c r="G2349" s="229"/>
      <c r="H2349" s="229"/>
      <c r="I2349" s="229"/>
      <c r="J2349" s="229"/>
      <c r="K2349" s="229"/>
      <c r="L2349" s="229"/>
      <c r="M2349" s="229"/>
      <c r="N2349" s="233"/>
    </row>
    <row r="2350" hidden="1" spans="1:14">
      <c r="A2350" s="235"/>
      <c r="B2350" s="230" t="s">
        <v>1033</v>
      </c>
      <c r="C2350" s="229">
        <v>14.845208</v>
      </c>
      <c r="D2350" s="229">
        <v>14.845208</v>
      </c>
      <c r="E2350" s="229">
        <v>14.845208</v>
      </c>
      <c r="F2350" s="229"/>
      <c r="G2350" s="229"/>
      <c r="H2350" s="229"/>
      <c r="I2350" s="229"/>
      <c r="J2350" s="229"/>
      <c r="K2350" s="229"/>
      <c r="L2350" s="229"/>
      <c r="M2350" s="229"/>
      <c r="N2350" s="232"/>
    </row>
    <row r="2351" hidden="1" spans="1:14">
      <c r="A2351" s="235"/>
      <c r="B2351" s="230" t="s">
        <v>1028</v>
      </c>
      <c r="C2351" s="229">
        <v>2.94</v>
      </c>
      <c r="D2351" s="229">
        <v>2.94</v>
      </c>
      <c r="E2351" s="229">
        <v>2.94</v>
      </c>
      <c r="F2351" s="229"/>
      <c r="G2351" s="229"/>
      <c r="H2351" s="229"/>
      <c r="I2351" s="229"/>
      <c r="J2351" s="229"/>
      <c r="K2351" s="229"/>
      <c r="L2351" s="229"/>
      <c r="M2351" s="229"/>
      <c r="N2351" s="232"/>
    </row>
    <row r="2352" hidden="1" spans="1:14">
      <c r="A2352" s="235"/>
      <c r="B2352" s="230" t="s">
        <v>1039</v>
      </c>
      <c r="C2352" s="229">
        <v>1.056688</v>
      </c>
      <c r="D2352" s="229">
        <v>1.056688</v>
      </c>
      <c r="E2352" s="229">
        <v>1.056688</v>
      </c>
      <c r="F2352" s="229"/>
      <c r="G2352" s="229"/>
      <c r="H2352" s="229"/>
      <c r="I2352" s="229"/>
      <c r="J2352" s="229"/>
      <c r="K2352" s="229"/>
      <c r="L2352" s="229"/>
      <c r="M2352" s="229"/>
      <c r="N2352" s="232"/>
    </row>
    <row r="2353" hidden="1" spans="1:14">
      <c r="A2353" s="235"/>
      <c r="B2353" s="230" t="s">
        <v>1035</v>
      </c>
      <c r="C2353" s="229">
        <v>0.1</v>
      </c>
      <c r="D2353" s="229">
        <v>0.1</v>
      </c>
      <c r="E2353" s="229">
        <v>0.1</v>
      </c>
      <c r="F2353" s="229"/>
      <c r="G2353" s="229"/>
      <c r="H2353" s="229"/>
      <c r="I2353" s="229"/>
      <c r="J2353" s="229"/>
      <c r="K2353" s="229"/>
      <c r="L2353" s="229"/>
      <c r="M2353" s="229"/>
      <c r="N2353" s="232"/>
    </row>
    <row r="2354" hidden="1" spans="1:14">
      <c r="A2354" s="235"/>
      <c r="B2354" s="230" t="s">
        <v>1037</v>
      </c>
      <c r="C2354" s="229">
        <v>0.0735</v>
      </c>
      <c r="D2354" s="229">
        <v>0.0735</v>
      </c>
      <c r="E2354" s="229">
        <v>0.0735</v>
      </c>
      <c r="F2354" s="229"/>
      <c r="G2354" s="229"/>
      <c r="H2354" s="229"/>
      <c r="I2354" s="229"/>
      <c r="J2354" s="229"/>
      <c r="K2354" s="229"/>
      <c r="L2354" s="229"/>
      <c r="M2354" s="229"/>
      <c r="N2354" s="232"/>
    </row>
    <row r="2355" hidden="1" spans="1:14">
      <c r="A2355" s="235"/>
      <c r="B2355" s="230" t="s">
        <v>1036</v>
      </c>
      <c r="C2355" s="229">
        <v>6.340128</v>
      </c>
      <c r="D2355" s="229">
        <v>6.340128</v>
      </c>
      <c r="E2355" s="229">
        <v>6.340128</v>
      </c>
      <c r="F2355" s="229"/>
      <c r="G2355" s="229"/>
      <c r="H2355" s="229"/>
      <c r="I2355" s="229"/>
      <c r="J2355" s="229"/>
      <c r="K2355" s="229"/>
      <c r="L2355" s="229"/>
      <c r="M2355" s="229"/>
      <c r="N2355" s="232"/>
    </row>
    <row r="2356" hidden="1" spans="1:14">
      <c r="A2356" s="235"/>
      <c r="B2356" s="230" t="s">
        <v>1029</v>
      </c>
      <c r="C2356" s="229">
        <v>2.997</v>
      </c>
      <c r="D2356" s="229">
        <v>2.997</v>
      </c>
      <c r="E2356" s="229">
        <v>2.997</v>
      </c>
      <c r="F2356" s="229"/>
      <c r="G2356" s="229"/>
      <c r="H2356" s="229"/>
      <c r="I2356" s="229"/>
      <c r="J2356" s="229"/>
      <c r="K2356" s="229"/>
      <c r="L2356" s="229"/>
      <c r="M2356" s="229"/>
      <c r="N2356" s="232"/>
    </row>
    <row r="2357" hidden="1" spans="1:14">
      <c r="A2357" s="235"/>
      <c r="B2357" s="230" t="s">
        <v>1032</v>
      </c>
      <c r="C2357" s="229">
        <v>52.8344</v>
      </c>
      <c r="D2357" s="229">
        <v>52.8344</v>
      </c>
      <c r="E2357" s="229">
        <v>52.8344</v>
      </c>
      <c r="F2357" s="229"/>
      <c r="G2357" s="229"/>
      <c r="H2357" s="229"/>
      <c r="I2357" s="229"/>
      <c r="J2357" s="229"/>
      <c r="K2357" s="229"/>
      <c r="L2357" s="229"/>
      <c r="M2357" s="229"/>
      <c r="N2357" s="232"/>
    </row>
    <row r="2358" hidden="1" spans="1:14">
      <c r="A2358" s="209">
        <v>814001</v>
      </c>
      <c r="B2358" s="231" t="s">
        <v>919</v>
      </c>
      <c r="C2358" s="229">
        <v>759.315422</v>
      </c>
      <c r="D2358" s="229">
        <v>759.315422</v>
      </c>
      <c r="E2358" s="229">
        <v>759.315422</v>
      </c>
      <c r="F2358" s="229"/>
      <c r="G2358" s="229"/>
      <c r="H2358" s="229"/>
      <c r="I2358" s="229"/>
      <c r="J2358" s="229"/>
      <c r="K2358" s="229"/>
      <c r="L2358" s="229"/>
      <c r="M2358" s="229"/>
      <c r="N2358" s="233"/>
    </row>
    <row r="2359" hidden="1" spans="1:14">
      <c r="A2359" s="235"/>
      <c r="B2359" s="230" t="s">
        <v>1034</v>
      </c>
      <c r="C2359" s="229">
        <v>2.028</v>
      </c>
      <c r="D2359" s="229">
        <v>2.028</v>
      </c>
      <c r="E2359" s="229">
        <v>2.028</v>
      </c>
      <c r="F2359" s="229"/>
      <c r="G2359" s="229"/>
      <c r="H2359" s="229"/>
      <c r="I2359" s="229"/>
      <c r="J2359" s="229"/>
      <c r="K2359" s="229"/>
      <c r="L2359" s="229"/>
      <c r="M2359" s="229"/>
      <c r="N2359" s="232"/>
    </row>
    <row r="2360" hidden="1" spans="1:14">
      <c r="A2360" s="235"/>
      <c r="B2360" s="230" t="s">
        <v>1028</v>
      </c>
      <c r="C2360" s="229">
        <v>88.765752</v>
      </c>
      <c r="D2360" s="229">
        <v>88.765752</v>
      </c>
      <c r="E2360" s="229">
        <v>88.765752</v>
      </c>
      <c r="F2360" s="229"/>
      <c r="G2360" s="229"/>
      <c r="H2360" s="229"/>
      <c r="I2360" s="229"/>
      <c r="J2360" s="229"/>
      <c r="K2360" s="229"/>
      <c r="L2360" s="229"/>
      <c r="M2360" s="229"/>
      <c r="N2360" s="232"/>
    </row>
    <row r="2361" hidden="1" spans="1:14">
      <c r="A2361" s="235"/>
      <c r="B2361" s="230" t="s">
        <v>1036</v>
      </c>
      <c r="C2361" s="229">
        <v>48.358685</v>
      </c>
      <c r="D2361" s="229">
        <v>48.358685</v>
      </c>
      <c r="E2361" s="229">
        <v>48.358685</v>
      </c>
      <c r="F2361" s="229"/>
      <c r="G2361" s="229"/>
      <c r="H2361" s="229"/>
      <c r="I2361" s="229"/>
      <c r="J2361" s="229"/>
      <c r="K2361" s="229"/>
      <c r="L2361" s="229"/>
      <c r="M2361" s="229"/>
      <c r="N2361" s="232"/>
    </row>
    <row r="2362" hidden="1" spans="1:14">
      <c r="A2362" s="235"/>
      <c r="B2362" s="230" t="s">
        <v>1035</v>
      </c>
      <c r="C2362" s="229">
        <v>3</v>
      </c>
      <c r="D2362" s="229">
        <v>3</v>
      </c>
      <c r="E2362" s="229">
        <v>3</v>
      </c>
      <c r="F2362" s="229"/>
      <c r="G2362" s="229"/>
      <c r="H2362" s="229"/>
      <c r="I2362" s="229"/>
      <c r="J2362" s="229"/>
      <c r="K2362" s="229"/>
      <c r="L2362" s="229"/>
      <c r="M2362" s="229"/>
      <c r="N2362" s="232"/>
    </row>
    <row r="2363" hidden="1" spans="1:14">
      <c r="A2363" s="235"/>
      <c r="B2363" s="230" t="s">
        <v>1037</v>
      </c>
      <c r="C2363" s="229">
        <v>2.219144</v>
      </c>
      <c r="D2363" s="229">
        <v>2.219144</v>
      </c>
      <c r="E2363" s="229">
        <v>2.219144</v>
      </c>
      <c r="F2363" s="229"/>
      <c r="G2363" s="229"/>
      <c r="H2363" s="229"/>
      <c r="I2363" s="229"/>
      <c r="J2363" s="229"/>
      <c r="K2363" s="229"/>
      <c r="L2363" s="229"/>
      <c r="M2363" s="229"/>
      <c r="N2363" s="232"/>
    </row>
    <row r="2364" hidden="1" spans="1:14">
      <c r="A2364" s="235"/>
      <c r="B2364" s="230" t="s">
        <v>1038</v>
      </c>
      <c r="C2364" s="229">
        <v>0.9</v>
      </c>
      <c r="D2364" s="229">
        <v>0.9</v>
      </c>
      <c r="E2364" s="229">
        <v>0.9</v>
      </c>
      <c r="F2364" s="229"/>
      <c r="G2364" s="229"/>
      <c r="H2364" s="229"/>
      <c r="I2364" s="229"/>
      <c r="J2364" s="229"/>
      <c r="K2364" s="229"/>
      <c r="L2364" s="229"/>
      <c r="M2364" s="229"/>
      <c r="N2364" s="232"/>
    </row>
    <row r="2365" hidden="1" spans="1:14">
      <c r="A2365" s="235"/>
      <c r="B2365" s="230" t="s">
        <v>1039</v>
      </c>
      <c r="C2365" s="229">
        <v>8.059781</v>
      </c>
      <c r="D2365" s="229">
        <v>8.059781</v>
      </c>
      <c r="E2365" s="229">
        <v>8.059781</v>
      </c>
      <c r="F2365" s="229"/>
      <c r="G2365" s="229"/>
      <c r="H2365" s="229"/>
      <c r="I2365" s="229"/>
      <c r="J2365" s="229"/>
      <c r="K2365" s="229"/>
      <c r="L2365" s="229"/>
      <c r="M2365" s="229"/>
      <c r="N2365" s="232"/>
    </row>
    <row r="2366" hidden="1" spans="1:14">
      <c r="A2366" s="235"/>
      <c r="B2366" s="230" t="s">
        <v>1031</v>
      </c>
      <c r="C2366" s="229">
        <v>16.44</v>
      </c>
      <c r="D2366" s="229">
        <v>16.44</v>
      </c>
      <c r="E2366" s="229">
        <v>16.44</v>
      </c>
      <c r="F2366" s="229"/>
      <c r="G2366" s="229"/>
      <c r="H2366" s="229"/>
      <c r="I2366" s="229"/>
      <c r="J2366" s="229"/>
      <c r="K2366" s="229"/>
      <c r="L2366" s="229"/>
      <c r="M2366" s="229"/>
      <c r="N2366" s="232"/>
    </row>
    <row r="2367" hidden="1" spans="1:14">
      <c r="A2367" s="235"/>
      <c r="B2367" s="230" t="s">
        <v>1029</v>
      </c>
      <c r="C2367" s="229">
        <v>53.46</v>
      </c>
      <c r="D2367" s="229">
        <v>53.46</v>
      </c>
      <c r="E2367" s="229">
        <v>53.46</v>
      </c>
      <c r="F2367" s="229"/>
      <c r="G2367" s="229"/>
      <c r="H2367" s="229"/>
      <c r="I2367" s="229"/>
      <c r="J2367" s="229"/>
      <c r="K2367" s="229"/>
      <c r="L2367" s="229"/>
      <c r="M2367" s="229"/>
      <c r="N2367" s="232"/>
    </row>
    <row r="2368" hidden="1" spans="1:14">
      <c r="A2368" s="235"/>
      <c r="B2368" s="230" t="s">
        <v>1030</v>
      </c>
      <c r="C2368" s="229">
        <v>8</v>
      </c>
      <c r="D2368" s="229">
        <v>8</v>
      </c>
      <c r="E2368" s="229">
        <v>8</v>
      </c>
      <c r="F2368" s="229"/>
      <c r="G2368" s="229"/>
      <c r="H2368" s="229"/>
      <c r="I2368" s="229"/>
      <c r="J2368" s="229"/>
      <c r="K2368" s="229"/>
      <c r="L2368" s="229"/>
      <c r="M2368" s="229"/>
      <c r="N2368" s="232"/>
    </row>
    <row r="2369" hidden="1" spans="1:14">
      <c r="A2369" s="235"/>
      <c r="B2369" s="230" t="s">
        <v>1033</v>
      </c>
      <c r="C2369" s="229">
        <v>125.09502</v>
      </c>
      <c r="D2369" s="229">
        <v>125.09502</v>
      </c>
      <c r="E2369" s="229">
        <v>125.09502</v>
      </c>
      <c r="F2369" s="229"/>
      <c r="G2369" s="229"/>
      <c r="H2369" s="229"/>
      <c r="I2369" s="229"/>
      <c r="J2369" s="229"/>
      <c r="K2369" s="229"/>
      <c r="L2369" s="229"/>
      <c r="M2369" s="229"/>
      <c r="N2369" s="232"/>
    </row>
    <row r="2370" hidden="1" spans="1:14">
      <c r="A2370" s="235"/>
      <c r="B2370" s="230" t="s">
        <v>1032</v>
      </c>
      <c r="C2370" s="229">
        <v>402.98904</v>
      </c>
      <c r="D2370" s="229">
        <v>402.98904</v>
      </c>
      <c r="E2370" s="229">
        <v>402.98904</v>
      </c>
      <c r="F2370" s="229"/>
      <c r="G2370" s="229"/>
      <c r="H2370" s="229"/>
      <c r="I2370" s="229"/>
      <c r="J2370" s="229"/>
      <c r="K2370" s="229"/>
      <c r="L2370" s="229"/>
      <c r="M2370" s="229"/>
      <c r="N2370" s="232"/>
    </row>
    <row r="2371" hidden="1" spans="1:14">
      <c r="A2371" s="209">
        <v>814002</v>
      </c>
      <c r="B2371" s="231" t="s">
        <v>921</v>
      </c>
      <c r="C2371" s="229">
        <v>259.942164</v>
      </c>
      <c r="D2371" s="229">
        <v>259.942164</v>
      </c>
      <c r="E2371" s="229">
        <v>259.942164</v>
      </c>
      <c r="F2371" s="229"/>
      <c r="G2371" s="229"/>
      <c r="H2371" s="229"/>
      <c r="I2371" s="229"/>
      <c r="J2371" s="229"/>
      <c r="K2371" s="229"/>
      <c r="L2371" s="229"/>
      <c r="M2371" s="229"/>
      <c r="N2371" s="233"/>
    </row>
    <row r="2372" hidden="1" spans="1:14">
      <c r="A2372" s="235"/>
      <c r="B2372" s="230" t="s">
        <v>1039</v>
      </c>
      <c r="C2372" s="229">
        <v>3.307684</v>
      </c>
      <c r="D2372" s="229">
        <v>3.307684</v>
      </c>
      <c r="E2372" s="229">
        <v>3.307684</v>
      </c>
      <c r="F2372" s="229"/>
      <c r="G2372" s="229"/>
      <c r="H2372" s="229"/>
      <c r="I2372" s="229"/>
      <c r="J2372" s="229"/>
      <c r="K2372" s="229"/>
      <c r="L2372" s="229"/>
      <c r="M2372" s="229"/>
      <c r="N2372" s="232"/>
    </row>
    <row r="2373" hidden="1" spans="1:14">
      <c r="A2373" s="235"/>
      <c r="B2373" s="230" t="s">
        <v>1029</v>
      </c>
      <c r="C2373" s="229">
        <v>12.15</v>
      </c>
      <c r="D2373" s="229">
        <v>12.15</v>
      </c>
      <c r="E2373" s="229">
        <v>12.15</v>
      </c>
      <c r="F2373" s="229"/>
      <c r="G2373" s="229"/>
      <c r="H2373" s="229"/>
      <c r="I2373" s="229"/>
      <c r="J2373" s="229"/>
      <c r="K2373" s="229"/>
      <c r="L2373" s="229"/>
      <c r="M2373" s="229"/>
      <c r="N2373" s="232"/>
    </row>
    <row r="2374" hidden="1" spans="1:14">
      <c r="A2374" s="235"/>
      <c r="B2374" s="230" t="s">
        <v>1038</v>
      </c>
      <c r="C2374" s="229">
        <v>0.12</v>
      </c>
      <c r="D2374" s="229">
        <v>0.12</v>
      </c>
      <c r="E2374" s="229">
        <v>0.12</v>
      </c>
      <c r="F2374" s="229"/>
      <c r="G2374" s="229"/>
      <c r="H2374" s="229"/>
      <c r="I2374" s="229"/>
      <c r="J2374" s="229"/>
      <c r="K2374" s="229"/>
      <c r="L2374" s="229"/>
      <c r="M2374" s="229"/>
      <c r="N2374" s="232"/>
    </row>
    <row r="2375" hidden="1" spans="1:14">
      <c r="A2375" s="235"/>
      <c r="B2375" s="230" t="s">
        <v>1033</v>
      </c>
      <c r="C2375" s="229">
        <v>46.680176</v>
      </c>
      <c r="D2375" s="229">
        <v>46.680176</v>
      </c>
      <c r="E2375" s="229">
        <v>46.680176</v>
      </c>
      <c r="F2375" s="229"/>
      <c r="G2375" s="229"/>
      <c r="H2375" s="229"/>
      <c r="I2375" s="229"/>
      <c r="J2375" s="229"/>
      <c r="K2375" s="229"/>
      <c r="L2375" s="229"/>
      <c r="M2375" s="229"/>
      <c r="N2375" s="232"/>
    </row>
    <row r="2376" hidden="1" spans="1:14">
      <c r="A2376" s="235"/>
      <c r="B2376" s="230" t="s">
        <v>1035</v>
      </c>
      <c r="C2376" s="229">
        <v>0.4</v>
      </c>
      <c r="D2376" s="229">
        <v>0.4</v>
      </c>
      <c r="E2376" s="229">
        <v>0.4</v>
      </c>
      <c r="F2376" s="229"/>
      <c r="G2376" s="229"/>
      <c r="H2376" s="229"/>
      <c r="I2376" s="229"/>
      <c r="J2376" s="229"/>
      <c r="K2376" s="229"/>
      <c r="L2376" s="229"/>
      <c r="M2376" s="229"/>
      <c r="N2376" s="232"/>
    </row>
    <row r="2377" hidden="1" spans="1:14">
      <c r="A2377" s="235"/>
      <c r="B2377" s="230" t="s">
        <v>1037</v>
      </c>
      <c r="C2377" s="229">
        <v>0.294</v>
      </c>
      <c r="D2377" s="229">
        <v>0.294</v>
      </c>
      <c r="E2377" s="229">
        <v>0.294</v>
      </c>
      <c r="F2377" s="229"/>
      <c r="G2377" s="229"/>
      <c r="H2377" s="229"/>
      <c r="I2377" s="229"/>
      <c r="J2377" s="229"/>
      <c r="K2377" s="229"/>
      <c r="L2377" s="229"/>
      <c r="M2377" s="229"/>
      <c r="N2377" s="232"/>
    </row>
    <row r="2378" hidden="1" spans="1:14">
      <c r="A2378" s="235"/>
      <c r="B2378" s="230" t="s">
        <v>1036</v>
      </c>
      <c r="C2378" s="229">
        <v>19.846104</v>
      </c>
      <c r="D2378" s="229">
        <v>19.846104</v>
      </c>
      <c r="E2378" s="229">
        <v>19.846104</v>
      </c>
      <c r="F2378" s="229"/>
      <c r="G2378" s="229"/>
      <c r="H2378" s="229"/>
      <c r="I2378" s="229"/>
      <c r="J2378" s="229"/>
      <c r="K2378" s="229"/>
      <c r="L2378" s="229"/>
      <c r="M2378" s="229"/>
      <c r="N2378" s="232"/>
    </row>
    <row r="2379" hidden="1" spans="1:14">
      <c r="A2379" s="235"/>
      <c r="B2379" s="230" t="s">
        <v>1028</v>
      </c>
      <c r="C2379" s="229">
        <v>11.76</v>
      </c>
      <c r="D2379" s="229">
        <v>11.76</v>
      </c>
      <c r="E2379" s="229">
        <v>11.76</v>
      </c>
      <c r="F2379" s="229"/>
      <c r="G2379" s="229"/>
      <c r="H2379" s="229"/>
      <c r="I2379" s="229"/>
      <c r="J2379" s="229"/>
      <c r="K2379" s="229"/>
      <c r="L2379" s="229"/>
      <c r="M2379" s="229"/>
      <c r="N2379" s="232"/>
    </row>
    <row r="2380" hidden="1" spans="1:14">
      <c r="A2380" s="235"/>
      <c r="B2380" s="230" t="s">
        <v>1032</v>
      </c>
      <c r="C2380" s="229">
        <v>165.3842</v>
      </c>
      <c r="D2380" s="229">
        <v>165.3842</v>
      </c>
      <c r="E2380" s="229">
        <v>165.3842</v>
      </c>
      <c r="F2380" s="229"/>
      <c r="G2380" s="229"/>
      <c r="H2380" s="229"/>
      <c r="I2380" s="229"/>
      <c r="J2380" s="229"/>
      <c r="K2380" s="229"/>
      <c r="L2380" s="229"/>
      <c r="M2380" s="229"/>
      <c r="N2380" s="232"/>
    </row>
    <row r="2381" hidden="1" spans="1:14">
      <c r="A2381" s="209">
        <v>814003</v>
      </c>
      <c r="B2381" s="231" t="s">
        <v>923</v>
      </c>
      <c r="C2381" s="229">
        <v>15.701436</v>
      </c>
      <c r="D2381" s="229">
        <v>15.701436</v>
      </c>
      <c r="E2381" s="229">
        <v>15.701436</v>
      </c>
      <c r="F2381" s="229"/>
      <c r="G2381" s="229"/>
      <c r="H2381" s="229"/>
      <c r="I2381" s="229"/>
      <c r="J2381" s="229"/>
      <c r="K2381" s="229"/>
      <c r="L2381" s="229"/>
      <c r="M2381" s="229"/>
      <c r="N2381" s="233"/>
    </row>
    <row r="2382" hidden="1" spans="1:14">
      <c r="A2382" s="235"/>
      <c r="B2382" s="230" t="s">
        <v>1033</v>
      </c>
      <c r="C2382" s="229">
        <v>2.799456</v>
      </c>
      <c r="D2382" s="229">
        <v>2.799456</v>
      </c>
      <c r="E2382" s="229">
        <v>2.799456</v>
      </c>
      <c r="F2382" s="229"/>
      <c r="G2382" s="229"/>
      <c r="H2382" s="229"/>
      <c r="I2382" s="229"/>
      <c r="J2382" s="229"/>
      <c r="K2382" s="229"/>
      <c r="L2382" s="229"/>
      <c r="M2382" s="229"/>
      <c r="N2382" s="232"/>
    </row>
    <row r="2383" hidden="1" spans="1:14">
      <c r="A2383" s="235"/>
      <c r="B2383" s="230" t="s">
        <v>1029</v>
      </c>
      <c r="C2383" s="229">
        <v>0.81</v>
      </c>
      <c r="D2383" s="229">
        <v>0.81</v>
      </c>
      <c r="E2383" s="229">
        <v>0.81</v>
      </c>
      <c r="F2383" s="229"/>
      <c r="G2383" s="229"/>
      <c r="H2383" s="229"/>
      <c r="I2383" s="229"/>
      <c r="J2383" s="229"/>
      <c r="K2383" s="229"/>
      <c r="L2383" s="229"/>
      <c r="M2383" s="229"/>
      <c r="N2383" s="232"/>
    </row>
    <row r="2384" hidden="1" spans="1:14">
      <c r="A2384" s="235"/>
      <c r="B2384" s="230" t="s">
        <v>1039</v>
      </c>
      <c r="C2384" s="229">
        <v>0.21214</v>
      </c>
      <c r="D2384" s="229">
        <v>0.21214</v>
      </c>
      <c r="E2384" s="229">
        <v>0.21214</v>
      </c>
      <c r="F2384" s="229"/>
      <c r="G2384" s="229"/>
      <c r="H2384" s="229"/>
      <c r="I2384" s="229"/>
      <c r="J2384" s="229"/>
      <c r="K2384" s="229"/>
      <c r="L2384" s="229"/>
      <c r="M2384" s="229"/>
      <c r="N2384" s="232"/>
    </row>
    <row r="2385" hidden="1" spans="1:14">
      <c r="A2385" s="235"/>
      <c r="B2385" s="230" t="s">
        <v>1036</v>
      </c>
      <c r="C2385" s="229">
        <v>1.27284</v>
      </c>
      <c r="D2385" s="229">
        <v>1.27284</v>
      </c>
      <c r="E2385" s="229">
        <v>1.27284</v>
      </c>
      <c r="F2385" s="229"/>
      <c r="G2385" s="229"/>
      <c r="H2385" s="229"/>
      <c r="I2385" s="229"/>
      <c r="J2385" s="229"/>
      <c r="K2385" s="229"/>
      <c r="L2385" s="229"/>
      <c r="M2385" s="229"/>
      <c r="N2385" s="232"/>
    </row>
    <row r="2386" hidden="1" spans="1:14">
      <c r="A2386" s="235"/>
      <c r="B2386" s="230" t="s">
        <v>1032</v>
      </c>
      <c r="C2386" s="229">
        <v>10.607</v>
      </c>
      <c r="D2386" s="229">
        <v>10.607</v>
      </c>
      <c r="E2386" s="229">
        <v>10.607</v>
      </c>
      <c r="F2386" s="229"/>
      <c r="G2386" s="229"/>
      <c r="H2386" s="229"/>
      <c r="I2386" s="229"/>
      <c r="J2386" s="229"/>
      <c r="K2386" s="229"/>
      <c r="L2386" s="229"/>
      <c r="M2386" s="229"/>
      <c r="N2386" s="232"/>
    </row>
    <row r="2387" hidden="1" spans="1:14">
      <c r="A2387" s="209">
        <v>814004</v>
      </c>
      <c r="B2387" s="231" t="s">
        <v>925</v>
      </c>
      <c r="C2387" s="229">
        <v>35.728011</v>
      </c>
      <c r="D2387" s="229">
        <v>35.728011</v>
      </c>
      <c r="E2387" s="229">
        <v>35.728011</v>
      </c>
      <c r="F2387" s="229"/>
      <c r="G2387" s="229"/>
      <c r="H2387" s="229"/>
      <c r="I2387" s="229"/>
      <c r="J2387" s="229"/>
      <c r="K2387" s="229"/>
      <c r="L2387" s="229"/>
      <c r="M2387" s="229"/>
      <c r="N2387" s="233"/>
    </row>
    <row r="2388" hidden="1" spans="1:14">
      <c r="A2388" s="235"/>
      <c r="B2388" s="230" t="s">
        <v>1033</v>
      </c>
      <c r="C2388" s="229">
        <v>6.275759</v>
      </c>
      <c r="D2388" s="229">
        <v>6.275759</v>
      </c>
      <c r="E2388" s="229">
        <v>6.275759</v>
      </c>
      <c r="F2388" s="229"/>
      <c r="G2388" s="229"/>
      <c r="H2388" s="229"/>
      <c r="I2388" s="229"/>
      <c r="J2388" s="229"/>
      <c r="K2388" s="229"/>
      <c r="L2388" s="229"/>
      <c r="M2388" s="229"/>
      <c r="N2388" s="232"/>
    </row>
    <row r="2389" hidden="1" spans="1:14">
      <c r="A2389" s="235"/>
      <c r="B2389" s="230" t="s">
        <v>1029</v>
      </c>
      <c r="C2389" s="229">
        <v>1.62</v>
      </c>
      <c r="D2389" s="229">
        <v>1.62</v>
      </c>
      <c r="E2389" s="229">
        <v>1.62</v>
      </c>
      <c r="F2389" s="229"/>
      <c r="G2389" s="229"/>
      <c r="H2389" s="229"/>
      <c r="I2389" s="229"/>
      <c r="J2389" s="229"/>
      <c r="K2389" s="229"/>
      <c r="L2389" s="229"/>
      <c r="M2389" s="229"/>
      <c r="N2389" s="232"/>
    </row>
    <row r="2390" hidden="1" spans="1:14">
      <c r="A2390" s="235"/>
      <c r="B2390" s="230" t="s">
        <v>1037</v>
      </c>
      <c r="C2390" s="229">
        <v>0.0735</v>
      </c>
      <c r="D2390" s="229">
        <v>0.0735</v>
      </c>
      <c r="E2390" s="229">
        <v>0.0735</v>
      </c>
      <c r="F2390" s="229"/>
      <c r="G2390" s="229"/>
      <c r="H2390" s="229"/>
      <c r="I2390" s="229"/>
      <c r="J2390" s="229"/>
      <c r="K2390" s="229"/>
      <c r="L2390" s="229"/>
      <c r="M2390" s="229"/>
      <c r="N2390" s="232"/>
    </row>
    <row r="2391" hidden="1" spans="1:14">
      <c r="A2391" s="235"/>
      <c r="B2391" s="230" t="s">
        <v>1038</v>
      </c>
      <c r="C2391" s="229">
        <v>0.03</v>
      </c>
      <c r="D2391" s="229">
        <v>0.03</v>
      </c>
      <c r="E2391" s="229">
        <v>0.03</v>
      </c>
      <c r="F2391" s="229"/>
      <c r="G2391" s="229"/>
      <c r="H2391" s="229"/>
      <c r="I2391" s="229"/>
      <c r="J2391" s="229"/>
      <c r="K2391" s="229"/>
      <c r="L2391" s="229"/>
      <c r="M2391" s="229"/>
      <c r="N2391" s="232"/>
    </row>
    <row r="2392" hidden="1" spans="1:14">
      <c r="A2392" s="235"/>
      <c r="B2392" s="230" t="s">
        <v>1028</v>
      </c>
      <c r="C2392" s="229">
        <v>2.94</v>
      </c>
      <c r="D2392" s="229">
        <v>2.94</v>
      </c>
      <c r="E2392" s="229">
        <v>2.94</v>
      </c>
      <c r="F2392" s="229"/>
      <c r="G2392" s="229"/>
      <c r="H2392" s="229"/>
      <c r="I2392" s="229"/>
      <c r="J2392" s="229"/>
      <c r="K2392" s="229"/>
      <c r="L2392" s="229"/>
      <c r="M2392" s="229"/>
      <c r="N2392" s="232"/>
    </row>
    <row r="2393" hidden="1" spans="1:14">
      <c r="A2393" s="235"/>
      <c r="B2393" s="230" t="s">
        <v>1035</v>
      </c>
      <c r="C2393" s="229">
        <v>0.1</v>
      </c>
      <c r="D2393" s="229">
        <v>0.1</v>
      </c>
      <c r="E2393" s="229">
        <v>0.1</v>
      </c>
      <c r="F2393" s="229"/>
      <c r="G2393" s="229"/>
      <c r="H2393" s="229"/>
      <c r="I2393" s="229"/>
      <c r="J2393" s="229"/>
      <c r="K2393" s="229"/>
      <c r="L2393" s="229"/>
      <c r="M2393" s="229"/>
      <c r="N2393" s="232"/>
    </row>
    <row r="2394" hidden="1" spans="1:14">
      <c r="A2394" s="235"/>
      <c r="B2394" s="230" t="s">
        <v>1039</v>
      </c>
      <c r="C2394" s="229">
        <v>0.433136</v>
      </c>
      <c r="D2394" s="229">
        <v>0.433136</v>
      </c>
      <c r="E2394" s="229">
        <v>0.433136</v>
      </c>
      <c r="F2394" s="229"/>
      <c r="G2394" s="229"/>
      <c r="H2394" s="229"/>
      <c r="I2394" s="229"/>
      <c r="J2394" s="229"/>
      <c r="K2394" s="229"/>
      <c r="L2394" s="229"/>
      <c r="M2394" s="229"/>
      <c r="N2394" s="232"/>
    </row>
    <row r="2395" hidden="1" spans="1:14">
      <c r="A2395" s="235"/>
      <c r="B2395" s="230" t="s">
        <v>1036</v>
      </c>
      <c r="C2395" s="229">
        <v>2.598816</v>
      </c>
      <c r="D2395" s="229">
        <v>2.598816</v>
      </c>
      <c r="E2395" s="229">
        <v>2.598816</v>
      </c>
      <c r="F2395" s="229"/>
      <c r="G2395" s="229"/>
      <c r="H2395" s="229"/>
      <c r="I2395" s="229"/>
      <c r="J2395" s="229"/>
      <c r="K2395" s="229"/>
      <c r="L2395" s="229"/>
      <c r="M2395" s="229"/>
      <c r="N2395" s="232"/>
    </row>
    <row r="2396" hidden="1" spans="1:14">
      <c r="A2396" s="235"/>
      <c r="B2396" s="230" t="s">
        <v>1032</v>
      </c>
      <c r="C2396" s="229">
        <v>21.6568</v>
      </c>
      <c r="D2396" s="229">
        <v>21.6568</v>
      </c>
      <c r="E2396" s="229">
        <v>21.6568</v>
      </c>
      <c r="F2396" s="229"/>
      <c r="G2396" s="229"/>
      <c r="H2396" s="229"/>
      <c r="I2396" s="229"/>
      <c r="J2396" s="229"/>
      <c r="K2396" s="229"/>
      <c r="L2396" s="229"/>
      <c r="M2396" s="229"/>
      <c r="N2396" s="232"/>
    </row>
    <row r="2397" hidden="1" spans="1:14">
      <c r="A2397" s="209">
        <v>814005</v>
      </c>
      <c r="B2397" s="231" t="s">
        <v>927</v>
      </c>
      <c r="C2397" s="229">
        <v>34.160866</v>
      </c>
      <c r="D2397" s="229">
        <v>34.160866</v>
      </c>
      <c r="E2397" s="229">
        <v>34.160866</v>
      </c>
      <c r="F2397" s="229"/>
      <c r="G2397" s="229"/>
      <c r="H2397" s="229"/>
      <c r="I2397" s="229"/>
      <c r="J2397" s="229"/>
      <c r="K2397" s="229"/>
      <c r="L2397" s="229"/>
      <c r="M2397" s="229"/>
      <c r="N2397" s="233"/>
    </row>
    <row r="2398" hidden="1" spans="1:14">
      <c r="A2398" s="235"/>
      <c r="B2398" s="230" t="s">
        <v>1033</v>
      </c>
      <c r="C2398" s="229">
        <v>6.13801</v>
      </c>
      <c r="D2398" s="229">
        <v>6.13801</v>
      </c>
      <c r="E2398" s="229">
        <v>6.13801</v>
      </c>
      <c r="F2398" s="229"/>
      <c r="G2398" s="229"/>
      <c r="H2398" s="229"/>
      <c r="I2398" s="229"/>
      <c r="J2398" s="229"/>
      <c r="K2398" s="229"/>
      <c r="L2398" s="229"/>
      <c r="M2398" s="229"/>
      <c r="N2398" s="232"/>
    </row>
    <row r="2399" hidden="1" spans="1:14">
      <c r="A2399" s="235"/>
      <c r="B2399" s="230" t="s">
        <v>1039</v>
      </c>
      <c r="C2399" s="229">
        <v>0.463208</v>
      </c>
      <c r="D2399" s="229">
        <v>0.463208</v>
      </c>
      <c r="E2399" s="229">
        <v>0.463208</v>
      </c>
      <c r="F2399" s="229"/>
      <c r="G2399" s="229"/>
      <c r="H2399" s="229"/>
      <c r="I2399" s="229"/>
      <c r="J2399" s="229"/>
      <c r="K2399" s="229"/>
      <c r="L2399" s="229"/>
      <c r="M2399" s="229"/>
      <c r="N2399" s="232"/>
    </row>
    <row r="2400" hidden="1" spans="1:14">
      <c r="A2400" s="235"/>
      <c r="B2400" s="230" t="s">
        <v>1029</v>
      </c>
      <c r="C2400" s="229">
        <v>1.62</v>
      </c>
      <c r="D2400" s="229">
        <v>1.62</v>
      </c>
      <c r="E2400" s="229">
        <v>1.62</v>
      </c>
      <c r="F2400" s="229"/>
      <c r="G2400" s="229"/>
      <c r="H2400" s="229"/>
      <c r="I2400" s="229"/>
      <c r="J2400" s="229"/>
      <c r="K2400" s="229"/>
      <c r="L2400" s="229"/>
      <c r="M2400" s="229"/>
      <c r="N2400" s="232"/>
    </row>
    <row r="2401" hidden="1" spans="1:14">
      <c r="A2401" s="235"/>
      <c r="B2401" s="230" t="s">
        <v>1036</v>
      </c>
      <c r="C2401" s="229">
        <v>2.779248</v>
      </c>
      <c r="D2401" s="229">
        <v>2.779248</v>
      </c>
      <c r="E2401" s="229">
        <v>2.779248</v>
      </c>
      <c r="F2401" s="229"/>
      <c r="G2401" s="229"/>
      <c r="H2401" s="229"/>
      <c r="I2401" s="229"/>
      <c r="J2401" s="229"/>
      <c r="K2401" s="229"/>
      <c r="L2401" s="229"/>
      <c r="M2401" s="229"/>
      <c r="N2401" s="232"/>
    </row>
    <row r="2402" hidden="1" spans="1:14">
      <c r="A2402" s="235"/>
      <c r="B2402" s="230" t="s">
        <v>1032</v>
      </c>
      <c r="C2402" s="229">
        <v>23.1604</v>
      </c>
      <c r="D2402" s="229">
        <v>23.1604</v>
      </c>
      <c r="E2402" s="229">
        <v>23.1604</v>
      </c>
      <c r="F2402" s="229"/>
      <c r="G2402" s="229"/>
      <c r="H2402" s="229"/>
      <c r="I2402" s="229"/>
      <c r="J2402" s="229"/>
      <c r="K2402" s="229"/>
      <c r="L2402" s="229"/>
      <c r="M2402" s="229"/>
      <c r="N2402" s="232"/>
    </row>
    <row r="2403" hidden="1" spans="1:14">
      <c r="A2403" s="209">
        <v>815001</v>
      </c>
      <c r="B2403" s="231" t="s">
        <v>930</v>
      </c>
      <c r="C2403" s="229">
        <v>791.47929</v>
      </c>
      <c r="D2403" s="229">
        <v>791.47929</v>
      </c>
      <c r="E2403" s="229">
        <v>791.47929</v>
      </c>
      <c r="F2403" s="229"/>
      <c r="G2403" s="229"/>
      <c r="H2403" s="229"/>
      <c r="I2403" s="229"/>
      <c r="J2403" s="229"/>
      <c r="K2403" s="229"/>
      <c r="L2403" s="229"/>
      <c r="M2403" s="229"/>
      <c r="N2403" s="233"/>
    </row>
    <row r="2404" hidden="1" spans="1:14">
      <c r="A2404" s="235"/>
      <c r="B2404" s="230" t="s">
        <v>1033</v>
      </c>
      <c r="C2404" s="229">
        <v>127.815288</v>
      </c>
      <c r="D2404" s="229">
        <v>127.815288</v>
      </c>
      <c r="E2404" s="229">
        <v>127.815288</v>
      </c>
      <c r="F2404" s="229"/>
      <c r="G2404" s="229"/>
      <c r="H2404" s="229"/>
      <c r="I2404" s="229"/>
      <c r="J2404" s="229"/>
      <c r="K2404" s="229"/>
      <c r="L2404" s="229"/>
      <c r="M2404" s="229"/>
      <c r="N2404" s="232"/>
    </row>
    <row r="2405" hidden="1" spans="1:14">
      <c r="A2405" s="235"/>
      <c r="B2405" s="230" t="s">
        <v>1037</v>
      </c>
      <c r="C2405" s="229">
        <v>1.7442</v>
      </c>
      <c r="D2405" s="229">
        <v>1.7442</v>
      </c>
      <c r="E2405" s="229">
        <v>1.7442</v>
      </c>
      <c r="F2405" s="229"/>
      <c r="G2405" s="229"/>
      <c r="H2405" s="229"/>
      <c r="I2405" s="229"/>
      <c r="J2405" s="229"/>
      <c r="K2405" s="229"/>
      <c r="L2405" s="229"/>
      <c r="M2405" s="229"/>
      <c r="N2405" s="232"/>
    </row>
    <row r="2406" hidden="1" spans="1:14">
      <c r="A2406" s="235"/>
      <c r="B2406" s="230" t="s">
        <v>1028</v>
      </c>
      <c r="C2406" s="229">
        <v>69.768</v>
      </c>
      <c r="D2406" s="229">
        <v>69.768</v>
      </c>
      <c r="E2406" s="229">
        <v>69.768</v>
      </c>
      <c r="F2406" s="229"/>
      <c r="G2406" s="229"/>
      <c r="H2406" s="229"/>
      <c r="I2406" s="229"/>
      <c r="J2406" s="229"/>
      <c r="K2406" s="229"/>
      <c r="L2406" s="229"/>
      <c r="M2406" s="229"/>
      <c r="N2406" s="232"/>
    </row>
    <row r="2407" hidden="1" spans="1:14">
      <c r="A2407" s="235"/>
      <c r="B2407" s="230" t="s">
        <v>1036</v>
      </c>
      <c r="C2407" s="229">
        <v>52.341979</v>
      </c>
      <c r="D2407" s="229">
        <v>52.341979</v>
      </c>
      <c r="E2407" s="229">
        <v>52.341979</v>
      </c>
      <c r="F2407" s="229"/>
      <c r="G2407" s="229"/>
      <c r="H2407" s="229"/>
      <c r="I2407" s="229"/>
      <c r="J2407" s="229"/>
      <c r="K2407" s="229"/>
      <c r="L2407" s="229"/>
      <c r="M2407" s="229"/>
      <c r="N2407" s="232"/>
    </row>
    <row r="2408" hidden="1" spans="1:14">
      <c r="A2408" s="235"/>
      <c r="B2408" s="230" t="s">
        <v>1032</v>
      </c>
      <c r="C2408" s="229">
        <v>436.18316</v>
      </c>
      <c r="D2408" s="229">
        <v>436.18316</v>
      </c>
      <c r="E2408" s="229">
        <v>436.18316</v>
      </c>
      <c r="F2408" s="229"/>
      <c r="G2408" s="229"/>
      <c r="H2408" s="229"/>
      <c r="I2408" s="229"/>
      <c r="J2408" s="229"/>
      <c r="K2408" s="229"/>
      <c r="L2408" s="229"/>
      <c r="M2408" s="229"/>
      <c r="N2408" s="232"/>
    </row>
    <row r="2409" hidden="1" spans="1:14">
      <c r="A2409" s="235"/>
      <c r="B2409" s="230" t="s">
        <v>1034</v>
      </c>
      <c r="C2409" s="229">
        <v>5.07</v>
      </c>
      <c r="D2409" s="229">
        <v>5.07</v>
      </c>
      <c r="E2409" s="229">
        <v>5.07</v>
      </c>
      <c r="F2409" s="229"/>
      <c r="G2409" s="229"/>
      <c r="H2409" s="229"/>
      <c r="I2409" s="229"/>
      <c r="J2409" s="229"/>
      <c r="K2409" s="229"/>
      <c r="L2409" s="229"/>
      <c r="M2409" s="229"/>
      <c r="N2409" s="232"/>
    </row>
    <row r="2410" hidden="1" spans="1:14">
      <c r="A2410" s="235"/>
      <c r="B2410" s="230" t="s">
        <v>1038</v>
      </c>
      <c r="C2410" s="229">
        <v>0.78</v>
      </c>
      <c r="D2410" s="229">
        <v>0.78</v>
      </c>
      <c r="E2410" s="229">
        <v>0.78</v>
      </c>
      <c r="F2410" s="229"/>
      <c r="G2410" s="229"/>
      <c r="H2410" s="229"/>
      <c r="I2410" s="229"/>
      <c r="J2410" s="229"/>
      <c r="K2410" s="229"/>
      <c r="L2410" s="229"/>
      <c r="M2410" s="229"/>
      <c r="N2410" s="232"/>
    </row>
    <row r="2411" hidden="1" spans="1:14">
      <c r="A2411" s="235"/>
      <c r="B2411" s="230" t="s">
        <v>1035</v>
      </c>
      <c r="C2411" s="229">
        <v>2.4</v>
      </c>
      <c r="D2411" s="229">
        <v>2.4</v>
      </c>
      <c r="E2411" s="229">
        <v>2.4</v>
      </c>
      <c r="F2411" s="229"/>
      <c r="G2411" s="229"/>
      <c r="H2411" s="229"/>
      <c r="I2411" s="229"/>
      <c r="J2411" s="229"/>
      <c r="K2411" s="229"/>
      <c r="L2411" s="229"/>
      <c r="M2411" s="229"/>
      <c r="N2411" s="232"/>
    </row>
    <row r="2412" hidden="1" spans="1:14">
      <c r="A2412" s="235"/>
      <c r="B2412" s="230" t="s">
        <v>1031</v>
      </c>
      <c r="C2412" s="229">
        <v>22.128</v>
      </c>
      <c r="D2412" s="229">
        <v>22.128</v>
      </c>
      <c r="E2412" s="229">
        <v>22.128</v>
      </c>
      <c r="F2412" s="229"/>
      <c r="G2412" s="229"/>
      <c r="H2412" s="229"/>
      <c r="I2412" s="229"/>
      <c r="J2412" s="229"/>
      <c r="K2412" s="229"/>
      <c r="L2412" s="229"/>
      <c r="M2412" s="229"/>
      <c r="N2412" s="232"/>
    </row>
    <row r="2413" hidden="1" spans="1:14">
      <c r="A2413" s="235"/>
      <c r="B2413" s="230" t="s">
        <v>1030</v>
      </c>
      <c r="C2413" s="229">
        <v>8</v>
      </c>
      <c r="D2413" s="229">
        <v>8</v>
      </c>
      <c r="E2413" s="229">
        <v>8</v>
      </c>
      <c r="F2413" s="229"/>
      <c r="G2413" s="229"/>
      <c r="H2413" s="229"/>
      <c r="I2413" s="229"/>
      <c r="J2413" s="229"/>
      <c r="K2413" s="229"/>
      <c r="L2413" s="229"/>
      <c r="M2413" s="229"/>
      <c r="N2413" s="232"/>
    </row>
    <row r="2414" hidden="1" spans="1:14">
      <c r="A2414" s="235"/>
      <c r="B2414" s="230" t="s">
        <v>1039</v>
      </c>
      <c r="C2414" s="229">
        <v>8.723663</v>
      </c>
      <c r="D2414" s="229">
        <v>8.723663</v>
      </c>
      <c r="E2414" s="229">
        <v>8.723663</v>
      </c>
      <c r="F2414" s="229"/>
      <c r="G2414" s="229"/>
      <c r="H2414" s="229"/>
      <c r="I2414" s="229"/>
      <c r="J2414" s="229"/>
      <c r="K2414" s="229"/>
      <c r="L2414" s="229"/>
      <c r="M2414" s="229"/>
      <c r="N2414" s="232"/>
    </row>
    <row r="2415" hidden="1" spans="1:14">
      <c r="A2415" s="235"/>
      <c r="B2415" s="230" t="s">
        <v>1029</v>
      </c>
      <c r="C2415" s="229">
        <v>56.525</v>
      </c>
      <c r="D2415" s="229">
        <v>56.525</v>
      </c>
      <c r="E2415" s="229">
        <v>56.525</v>
      </c>
      <c r="F2415" s="229"/>
      <c r="G2415" s="229"/>
      <c r="H2415" s="229"/>
      <c r="I2415" s="229"/>
      <c r="J2415" s="229"/>
      <c r="K2415" s="229"/>
      <c r="L2415" s="229"/>
      <c r="M2415" s="229"/>
      <c r="N2415" s="232"/>
    </row>
    <row r="2416" hidden="1" spans="1:14">
      <c r="A2416" s="209">
        <v>815002</v>
      </c>
      <c r="B2416" s="231" t="s">
        <v>932</v>
      </c>
      <c r="C2416" s="229">
        <v>241.587554</v>
      </c>
      <c r="D2416" s="229">
        <v>241.587554</v>
      </c>
      <c r="E2416" s="229">
        <v>241.587554</v>
      </c>
      <c r="F2416" s="229"/>
      <c r="G2416" s="229"/>
      <c r="H2416" s="229"/>
      <c r="I2416" s="229"/>
      <c r="J2416" s="229"/>
      <c r="K2416" s="229"/>
      <c r="L2416" s="229"/>
      <c r="M2416" s="229"/>
      <c r="N2416" s="233"/>
    </row>
    <row r="2417" hidden="1" spans="1:14">
      <c r="A2417" s="235"/>
      <c r="B2417" s="230" t="s">
        <v>1033</v>
      </c>
      <c r="C2417" s="229">
        <v>43.380574</v>
      </c>
      <c r="D2417" s="229">
        <v>43.380574</v>
      </c>
      <c r="E2417" s="229">
        <v>43.380574</v>
      </c>
      <c r="F2417" s="229"/>
      <c r="G2417" s="229"/>
      <c r="H2417" s="229"/>
      <c r="I2417" s="229"/>
      <c r="J2417" s="229"/>
      <c r="K2417" s="229"/>
      <c r="L2417" s="229"/>
      <c r="M2417" s="229"/>
      <c r="N2417" s="232"/>
    </row>
    <row r="2418" hidden="1" spans="1:14">
      <c r="A2418" s="235"/>
      <c r="B2418" s="230" t="s">
        <v>1034</v>
      </c>
      <c r="C2418" s="229">
        <v>1.014</v>
      </c>
      <c r="D2418" s="229">
        <v>1.014</v>
      </c>
      <c r="E2418" s="229">
        <v>1.014</v>
      </c>
      <c r="F2418" s="229"/>
      <c r="G2418" s="229"/>
      <c r="H2418" s="229"/>
      <c r="I2418" s="229"/>
      <c r="J2418" s="229"/>
      <c r="K2418" s="229"/>
      <c r="L2418" s="229"/>
      <c r="M2418" s="229"/>
      <c r="N2418" s="232"/>
    </row>
    <row r="2419" hidden="1" spans="1:14">
      <c r="A2419" s="235"/>
      <c r="B2419" s="230" t="s">
        <v>1028</v>
      </c>
      <c r="C2419" s="229">
        <v>14.7</v>
      </c>
      <c r="D2419" s="229">
        <v>14.7</v>
      </c>
      <c r="E2419" s="229">
        <v>14.7</v>
      </c>
      <c r="F2419" s="229"/>
      <c r="G2419" s="229"/>
      <c r="H2419" s="229"/>
      <c r="I2419" s="229"/>
      <c r="J2419" s="229"/>
      <c r="K2419" s="229"/>
      <c r="L2419" s="229"/>
      <c r="M2419" s="229"/>
      <c r="N2419" s="232"/>
    </row>
    <row r="2420" hidden="1" spans="1:14">
      <c r="A2420" s="235"/>
      <c r="B2420" s="230" t="s">
        <v>1038</v>
      </c>
      <c r="C2420" s="229">
        <v>0.12</v>
      </c>
      <c r="D2420" s="229">
        <v>0.12</v>
      </c>
      <c r="E2420" s="229">
        <v>0.12</v>
      </c>
      <c r="F2420" s="229"/>
      <c r="G2420" s="229"/>
      <c r="H2420" s="229"/>
      <c r="I2420" s="229"/>
      <c r="J2420" s="229"/>
      <c r="K2420" s="229"/>
      <c r="L2420" s="229"/>
      <c r="M2420" s="229"/>
      <c r="N2420" s="232"/>
    </row>
    <row r="2421" hidden="1" spans="1:14">
      <c r="A2421" s="235"/>
      <c r="B2421" s="230" t="s">
        <v>1029</v>
      </c>
      <c r="C2421" s="229">
        <v>10.4975</v>
      </c>
      <c r="D2421" s="229">
        <v>10.4975</v>
      </c>
      <c r="E2421" s="229">
        <v>10.4975</v>
      </c>
      <c r="F2421" s="229"/>
      <c r="G2421" s="229"/>
      <c r="H2421" s="229"/>
      <c r="I2421" s="229"/>
      <c r="J2421" s="229"/>
      <c r="K2421" s="229"/>
      <c r="L2421" s="229"/>
      <c r="M2421" s="229"/>
      <c r="N2421" s="232"/>
    </row>
    <row r="2422" hidden="1" spans="1:14">
      <c r="A2422" s="235"/>
      <c r="B2422" s="230" t="s">
        <v>1035</v>
      </c>
      <c r="C2422" s="229">
        <v>0.5</v>
      </c>
      <c r="D2422" s="229">
        <v>0.5</v>
      </c>
      <c r="E2422" s="229">
        <v>0.5</v>
      </c>
      <c r="F2422" s="229"/>
      <c r="G2422" s="229"/>
      <c r="H2422" s="229"/>
      <c r="I2422" s="229"/>
      <c r="J2422" s="229"/>
      <c r="K2422" s="229"/>
      <c r="L2422" s="229"/>
      <c r="M2422" s="229"/>
      <c r="N2422" s="232"/>
    </row>
    <row r="2423" hidden="1" spans="1:14">
      <c r="A2423" s="235"/>
      <c r="B2423" s="230" t="s">
        <v>1037</v>
      </c>
      <c r="C2423" s="229">
        <v>0.3675</v>
      </c>
      <c r="D2423" s="229">
        <v>0.3675</v>
      </c>
      <c r="E2423" s="229">
        <v>0.3675</v>
      </c>
      <c r="F2423" s="229"/>
      <c r="G2423" s="229"/>
      <c r="H2423" s="229"/>
      <c r="I2423" s="229"/>
      <c r="J2423" s="229"/>
      <c r="K2423" s="229"/>
      <c r="L2423" s="229"/>
      <c r="M2423" s="229"/>
      <c r="N2423" s="232"/>
    </row>
    <row r="2424" hidden="1" spans="1:14">
      <c r="A2424" s="235"/>
      <c r="B2424" s="230" t="s">
        <v>1039</v>
      </c>
      <c r="C2424" s="229">
        <v>3.00014</v>
      </c>
      <c r="D2424" s="229">
        <v>3.00014</v>
      </c>
      <c r="E2424" s="229">
        <v>3.00014</v>
      </c>
      <c r="F2424" s="229"/>
      <c r="G2424" s="229"/>
      <c r="H2424" s="229"/>
      <c r="I2424" s="229"/>
      <c r="J2424" s="229"/>
      <c r="K2424" s="229"/>
      <c r="L2424" s="229"/>
      <c r="M2424" s="229"/>
      <c r="N2424" s="232"/>
    </row>
    <row r="2425" hidden="1" spans="1:14">
      <c r="A2425" s="235"/>
      <c r="B2425" s="230" t="s">
        <v>1036</v>
      </c>
      <c r="C2425" s="229">
        <v>18.00084</v>
      </c>
      <c r="D2425" s="229">
        <v>18.00084</v>
      </c>
      <c r="E2425" s="229">
        <v>18.00084</v>
      </c>
      <c r="F2425" s="229"/>
      <c r="G2425" s="229"/>
      <c r="H2425" s="229"/>
      <c r="I2425" s="229"/>
      <c r="J2425" s="229"/>
      <c r="K2425" s="229"/>
      <c r="L2425" s="229"/>
      <c r="M2425" s="229"/>
      <c r="N2425" s="232"/>
    </row>
    <row r="2426" hidden="1" spans="1:14">
      <c r="A2426" s="235"/>
      <c r="B2426" s="230" t="s">
        <v>1032</v>
      </c>
      <c r="C2426" s="229">
        <v>150.007</v>
      </c>
      <c r="D2426" s="229">
        <v>150.007</v>
      </c>
      <c r="E2426" s="229">
        <v>150.007</v>
      </c>
      <c r="F2426" s="229"/>
      <c r="G2426" s="229"/>
      <c r="H2426" s="229"/>
      <c r="I2426" s="229"/>
      <c r="J2426" s="229"/>
      <c r="K2426" s="229"/>
      <c r="L2426" s="229"/>
      <c r="M2426" s="229"/>
      <c r="N2426" s="232"/>
    </row>
    <row r="2427" hidden="1" spans="1:14">
      <c r="A2427" s="209">
        <v>815003</v>
      </c>
      <c r="B2427" s="231" t="s">
        <v>1160</v>
      </c>
      <c r="C2427" s="229">
        <v>16.522664</v>
      </c>
      <c r="D2427" s="229">
        <v>16.522664</v>
      </c>
      <c r="E2427" s="229">
        <v>16.522664</v>
      </c>
      <c r="F2427" s="229"/>
      <c r="G2427" s="229"/>
      <c r="H2427" s="229"/>
      <c r="I2427" s="229"/>
      <c r="J2427" s="229"/>
      <c r="K2427" s="229"/>
      <c r="L2427" s="229"/>
      <c r="M2427" s="229"/>
      <c r="N2427" s="233"/>
    </row>
    <row r="2428" hidden="1" spans="1:14">
      <c r="A2428" s="235"/>
      <c r="B2428" s="230" t="s">
        <v>1036</v>
      </c>
      <c r="C2428" s="229">
        <v>1.3434</v>
      </c>
      <c r="D2428" s="229">
        <v>1.3434</v>
      </c>
      <c r="E2428" s="229">
        <v>1.3434</v>
      </c>
      <c r="F2428" s="229"/>
      <c r="G2428" s="229"/>
      <c r="H2428" s="229"/>
      <c r="I2428" s="229"/>
      <c r="J2428" s="229"/>
      <c r="K2428" s="229"/>
      <c r="L2428" s="229"/>
      <c r="M2428" s="229"/>
      <c r="N2428" s="232"/>
    </row>
    <row r="2429" hidden="1" spans="1:14">
      <c r="A2429" s="235"/>
      <c r="B2429" s="230" t="s">
        <v>1032</v>
      </c>
      <c r="C2429" s="229">
        <v>11.195</v>
      </c>
      <c r="D2429" s="229">
        <v>11.195</v>
      </c>
      <c r="E2429" s="229">
        <v>11.195</v>
      </c>
      <c r="F2429" s="229"/>
      <c r="G2429" s="229"/>
      <c r="H2429" s="229"/>
      <c r="I2429" s="229"/>
      <c r="J2429" s="229"/>
      <c r="K2429" s="229"/>
      <c r="L2429" s="229"/>
      <c r="M2429" s="229"/>
      <c r="N2429" s="232"/>
    </row>
    <row r="2430" hidden="1" spans="1:14">
      <c r="A2430" s="235"/>
      <c r="B2430" s="230" t="s">
        <v>1156</v>
      </c>
      <c r="C2430" s="229">
        <v>0.8075</v>
      </c>
      <c r="D2430" s="229">
        <v>0.8075</v>
      </c>
      <c r="E2430" s="229">
        <v>0.8075</v>
      </c>
      <c r="F2430" s="229"/>
      <c r="G2430" s="229"/>
      <c r="H2430" s="229"/>
      <c r="I2430" s="229"/>
      <c r="J2430" s="229"/>
      <c r="K2430" s="229"/>
      <c r="L2430" s="229"/>
      <c r="M2430" s="229"/>
      <c r="N2430" s="232"/>
    </row>
    <row r="2431" hidden="1" spans="1:14">
      <c r="A2431" s="235"/>
      <c r="B2431" s="230" t="s">
        <v>1039</v>
      </c>
      <c r="C2431" s="229">
        <v>0.2239</v>
      </c>
      <c r="D2431" s="229">
        <v>0.2239</v>
      </c>
      <c r="E2431" s="229">
        <v>0.2239</v>
      </c>
      <c r="F2431" s="229"/>
      <c r="G2431" s="229"/>
      <c r="H2431" s="229"/>
      <c r="I2431" s="229"/>
      <c r="J2431" s="229"/>
      <c r="K2431" s="229"/>
      <c r="L2431" s="229"/>
      <c r="M2431" s="229"/>
      <c r="N2431" s="232"/>
    </row>
    <row r="2432" hidden="1" spans="1:14">
      <c r="A2432" s="235"/>
      <c r="B2432" s="230" t="s">
        <v>1033</v>
      </c>
      <c r="C2432" s="229">
        <v>2.952864</v>
      </c>
      <c r="D2432" s="229">
        <v>2.952864</v>
      </c>
      <c r="E2432" s="229">
        <v>2.952864</v>
      </c>
      <c r="F2432" s="229"/>
      <c r="G2432" s="229"/>
      <c r="H2432" s="229"/>
      <c r="I2432" s="229"/>
      <c r="J2432" s="229"/>
      <c r="K2432" s="229"/>
      <c r="L2432" s="229"/>
      <c r="M2432" s="229"/>
      <c r="N2432" s="232"/>
    </row>
    <row r="2433" hidden="1" spans="1:14">
      <c r="A2433" s="209">
        <v>815004</v>
      </c>
      <c r="B2433" s="231" t="s">
        <v>936</v>
      </c>
      <c r="C2433" s="229">
        <v>38.942844</v>
      </c>
      <c r="D2433" s="229">
        <v>38.942844</v>
      </c>
      <c r="E2433" s="229">
        <v>38.942844</v>
      </c>
      <c r="F2433" s="229"/>
      <c r="G2433" s="229"/>
      <c r="H2433" s="229"/>
      <c r="I2433" s="229"/>
      <c r="J2433" s="229"/>
      <c r="K2433" s="229"/>
      <c r="L2433" s="229"/>
      <c r="M2433" s="229"/>
      <c r="N2433" s="233"/>
    </row>
    <row r="2434" hidden="1" spans="1:14">
      <c r="A2434" s="235"/>
      <c r="B2434" s="230" t="s">
        <v>1033</v>
      </c>
      <c r="C2434" s="229">
        <v>7.67752</v>
      </c>
      <c r="D2434" s="229">
        <v>7.67752</v>
      </c>
      <c r="E2434" s="229">
        <v>7.67752</v>
      </c>
      <c r="F2434" s="229"/>
      <c r="G2434" s="229"/>
      <c r="H2434" s="229"/>
      <c r="I2434" s="229"/>
      <c r="J2434" s="229"/>
      <c r="K2434" s="229"/>
      <c r="L2434" s="229"/>
      <c r="M2434" s="229"/>
      <c r="N2434" s="232"/>
    </row>
    <row r="2435" hidden="1" spans="1:14">
      <c r="A2435" s="235"/>
      <c r="B2435" s="230" t="s">
        <v>1028</v>
      </c>
      <c r="C2435" s="229">
        <v>2.94</v>
      </c>
      <c r="D2435" s="229">
        <v>2.94</v>
      </c>
      <c r="E2435" s="229">
        <v>2.94</v>
      </c>
      <c r="F2435" s="229"/>
      <c r="G2435" s="229"/>
      <c r="H2435" s="229"/>
      <c r="I2435" s="229"/>
      <c r="J2435" s="229"/>
      <c r="K2435" s="229"/>
      <c r="L2435" s="229"/>
      <c r="M2435" s="229"/>
      <c r="N2435" s="232"/>
    </row>
    <row r="2436" hidden="1" spans="1:14">
      <c r="A2436" s="235"/>
      <c r="B2436" s="230" t="s">
        <v>1036</v>
      </c>
      <c r="C2436" s="229">
        <v>2.790192</v>
      </c>
      <c r="D2436" s="229">
        <v>2.790192</v>
      </c>
      <c r="E2436" s="229">
        <v>2.790192</v>
      </c>
      <c r="F2436" s="229"/>
      <c r="G2436" s="229"/>
      <c r="H2436" s="229"/>
      <c r="I2436" s="229"/>
      <c r="J2436" s="229"/>
      <c r="K2436" s="229"/>
      <c r="L2436" s="229"/>
      <c r="M2436" s="229"/>
      <c r="N2436" s="232"/>
    </row>
    <row r="2437" hidden="1" spans="1:14">
      <c r="A2437" s="235"/>
      <c r="B2437" s="230" t="s">
        <v>1038</v>
      </c>
      <c r="C2437" s="229">
        <v>0.03</v>
      </c>
      <c r="D2437" s="229">
        <v>0.03</v>
      </c>
      <c r="E2437" s="229">
        <v>0.03</v>
      </c>
      <c r="F2437" s="229"/>
      <c r="G2437" s="229"/>
      <c r="H2437" s="229"/>
      <c r="I2437" s="229"/>
      <c r="J2437" s="229"/>
      <c r="K2437" s="229"/>
      <c r="L2437" s="229"/>
      <c r="M2437" s="229"/>
      <c r="N2437" s="232"/>
    </row>
    <row r="2438" hidden="1" spans="1:14">
      <c r="A2438" s="235"/>
      <c r="B2438" s="230" t="s">
        <v>1035</v>
      </c>
      <c r="C2438" s="229">
        <v>0.1</v>
      </c>
      <c r="D2438" s="229">
        <v>0.1</v>
      </c>
      <c r="E2438" s="229">
        <v>0.1</v>
      </c>
      <c r="F2438" s="229"/>
      <c r="G2438" s="229"/>
      <c r="H2438" s="229"/>
      <c r="I2438" s="229"/>
      <c r="J2438" s="229"/>
      <c r="K2438" s="229"/>
      <c r="L2438" s="229"/>
      <c r="M2438" s="229"/>
      <c r="N2438" s="232"/>
    </row>
    <row r="2439" hidden="1" spans="1:14">
      <c r="A2439" s="235"/>
      <c r="B2439" s="230" t="s">
        <v>1037</v>
      </c>
      <c r="C2439" s="229">
        <v>0.0735</v>
      </c>
      <c r="D2439" s="229">
        <v>0.0735</v>
      </c>
      <c r="E2439" s="229">
        <v>0.0735</v>
      </c>
      <c r="F2439" s="229"/>
      <c r="G2439" s="229"/>
      <c r="H2439" s="229"/>
      <c r="I2439" s="229"/>
      <c r="J2439" s="229"/>
      <c r="K2439" s="229"/>
      <c r="L2439" s="229"/>
      <c r="M2439" s="229"/>
      <c r="N2439" s="232"/>
    </row>
    <row r="2440" hidden="1" spans="1:14">
      <c r="A2440" s="235"/>
      <c r="B2440" s="230" t="s">
        <v>1029</v>
      </c>
      <c r="C2440" s="229">
        <v>1.615</v>
      </c>
      <c r="D2440" s="229">
        <v>1.615</v>
      </c>
      <c r="E2440" s="229">
        <v>1.615</v>
      </c>
      <c r="F2440" s="229"/>
      <c r="G2440" s="229"/>
      <c r="H2440" s="229"/>
      <c r="I2440" s="229"/>
      <c r="J2440" s="229"/>
      <c r="K2440" s="229"/>
      <c r="L2440" s="229"/>
      <c r="M2440" s="229"/>
      <c r="N2440" s="232"/>
    </row>
    <row r="2441" hidden="1" spans="1:14">
      <c r="A2441" s="235"/>
      <c r="B2441" s="230" t="s">
        <v>1039</v>
      </c>
      <c r="C2441" s="229">
        <v>0.465032</v>
      </c>
      <c r="D2441" s="229">
        <v>0.465032</v>
      </c>
      <c r="E2441" s="229">
        <v>0.465032</v>
      </c>
      <c r="F2441" s="229"/>
      <c r="G2441" s="229"/>
      <c r="H2441" s="229"/>
      <c r="I2441" s="229"/>
      <c r="J2441" s="229"/>
      <c r="K2441" s="229"/>
      <c r="L2441" s="229"/>
      <c r="M2441" s="229"/>
      <c r="N2441" s="232"/>
    </row>
    <row r="2442" hidden="1" spans="1:14">
      <c r="A2442" s="235"/>
      <c r="B2442" s="230" t="s">
        <v>1032</v>
      </c>
      <c r="C2442" s="229">
        <v>23.2516</v>
      </c>
      <c r="D2442" s="229">
        <v>23.2516</v>
      </c>
      <c r="E2442" s="229">
        <v>23.2516</v>
      </c>
      <c r="F2442" s="229"/>
      <c r="G2442" s="229"/>
      <c r="H2442" s="229"/>
      <c r="I2442" s="229"/>
      <c r="J2442" s="229"/>
      <c r="K2442" s="229"/>
      <c r="L2442" s="229"/>
      <c r="M2442" s="229"/>
      <c r="N2442" s="232"/>
    </row>
    <row r="2443" hidden="1" spans="1:14">
      <c r="A2443" s="209">
        <v>815005</v>
      </c>
      <c r="B2443" s="231" t="s">
        <v>938</v>
      </c>
      <c r="C2443" s="229">
        <v>33.913086</v>
      </c>
      <c r="D2443" s="229">
        <v>33.913086</v>
      </c>
      <c r="E2443" s="229">
        <v>33.913086</v>
      </c>
      <c r="F2443" s="229"/>
      <c r="G2443" s="229"/>
      <c r="H2443" s="229"/>
      <c r="I2443" s="229"/>
      <c r="J2443" s="229"/>
      <c r="K2443" s="229"/>
      <c r="L2443" s="229"/>
      <c r="M2443" s="229"/>
      <c r="N2443" s="233"/>
    </row>
    <row r="2444" hidden="1" spans="1:14">
      <c r="A2444" s="235"/>
      <c r="B2444" s="230" t="s">
        <v>1036</v>
      </c>
      <c r="C2444" s="229">
        <v>2.759232</v>
      </c>
      <c r="D2444" s="229">
        <v>2.759232</v>
      </c>
      <c r="E2444" s="229">
        <v>2.759232</v>
      </c>
      <c r="F2444" s="229"/>
      <c r="G2444" s="229"/>
      <c r="H2444" s="229"/>
      <c r="I2444" s="229"/>
      <c r="J2444" s="229"/>
      <c r="K2444" s="229"/>
      <c r="L2444" s="229"/>
      <c r="M2444" s="229"/>
      <c r="N2444" s="232"/>
    </row>
    <row r="2445" hidden="1" spans="1:14">
      <c r="A2445" s="235"/>
      <c r="B2445" s="230" t="s">
        <v>1039</v>
      </c>
      <c r="C2445" s="229">
        <v>0.459872</v>
      </c>
      <c r="D2445" s="229">
        <v>0.459872</v>
      </c>
      <c r="E2445" s="229">
        <v>0.459872</v>
      </c>
      <c r="F2445" s="229"/>
      <c r="G2445" s="229"/>
      <c r="H2445" s="229"/>
      <c r="I2445" s="229"/>
      <c r="J2445" s="229"/>
      <c r="K2445" s="229"/>
      <c r="L2445" s="229"/>
      <c r="M2445" s="229"/>
      <c r="N2445" s="232"/>
    </row>
    <row r="2446" hidden="1" spans="1:14">
      <c r="A2446" s="235"/>
      <c r="B2446" s="230" t="s">
        <v>1033</v>
      </c>
      <c r="C2446" s="229">
        <v>6.085382</v>
      </c>
      <c r="D2446" s="229">
        <v>6.085382</v>
      </c>
      <c r="E2446" s="229">
        <v>6.085382</v>
      </c>
      <c r="F2446" s="229"/>
      <c r="G2446" s="229"/>
      <c r="H2446" s="229"/>
      <c r="I2446" s="229"/>
      <c r="J2446" s="229"/>
      <c r="K2446" s="229"/>
      <c r="L2446" s="229"/>
      <c r="M2446" s="229"/>
      <c r="N2446" s="232"/>
    </row>
    <row r="2447" hidden="1" spans="1:14">
      <c r="A2447" s="235"/>
      <c r="B2447" s="230" t="s">
        <v>1029</v>
      </c>
      <c r="C2447" s="229">
        <v>1.615</v>
      </c>
      <c r="D2447" s="229">
        <v>1.615</v>
      </c>
      <c r="E2447" s="229">
        <v>1.615</v>
      </c>
      <c r="F2447" s="229"/>
      <c r="G2447" s="229"/>
      <c r="H2447" s="229"/>
      <c r="I2447" s="229"/>
      <c r="J2447" s="229"/>
      <c r="K2447" s="229"/>
      <c r="L2447" s="229"/>
      <c r="M2447" s="229"/>
      <c r="N2447" s="232"/>
    </row>
    <row r="2448" hidden="1" spans="1:14">
      <c r="A2448" s="235"/>
      <c r="B2448" s="230" t="s">
        <v>1032</v>
      </c>
      <c r="C2448" s="229">
        <v>22.9936</v>
      </c>
      <c r="D2448" s="229">
        <v>22.9936</v>
      </c>
      <c r="E2448" s="229">
        <v>22.9936</v>
      </c>
      <c r="F2448" s="229"/>
      <c r="G2448" s="229"/>
      <c r="H2448" s="229"/>
      <c r="I2448" s="229"/>
      <c r="J2448" s="229"/>
      <c r="K2448" s="229"/>
      <c r="L2448" s="229"/>
      <c r="M2448" s="229"/>
      <c r="N2448" s="232"/>
    </row>
    <row r="2449" hidden="1" spans="1:14">
      <c r="A2449" s="209">
        <v>816001</v>
      </c>
      <c r="B2449" s="231" t="s">
        <v>941</v>
      </c>
      <c r="C2449" s="229">
        <v>1263.849116</v>
      </c>
      <c r="D2449" s="229">
        <v>1263.849116</v>
      </c>
      <c r="E2449" s="229">
        <v>1263.849116</v>
      </c>
      <c r="F2449" s="229"/>
      <c r="G2449" s="229"/>
      <c r="H2449" s="229"/>
      <c r="I2449" s="229"/>
      <c r="J2449" s="229"/>
      <c r="K2449" s="229"/>
      <c r="L2449" s="229"/>
      <c r="M2449" s="229"/>
      <c r="N2449" s="233"/>
    </row>
    <row r="2450" hidden="1" spans="1:14">
      <c r="A2450" s="235"/>
      <c r="B2450" s="230" t="s">
        <v>1028</v>
      </c>
      <c r="C2450" s="229">
        <v>189.4536</v>
      </c>
      <c r="D2450" s="229">
        <v>189.4536</v>
      </c>
      <c r="E2450" s="229">
        <v>189.4536</v>
      </c>
      <c r="F2450" s="229"/>
      <c r="G2450" s="229"/>
      <c r="H2450" s="229"/>
      <c r="I2450" s="229"/>
      <c r="J2450" s="229"/>
      <c r="K2450" s="229"/>
      <c r="L2450" s="229"/>
      <c r="M2450" s="229"/>
      <c r="N2450" s="232"/>
    </row>
    <row r="2451" hidden="1" spans="1:14">
      <c r="A2451" s="235"/>
      <c r="B2451" s="230" t="s">
        <v>1036</v>
      </c>
      <c r="C2451" s="229">
        <v>75.133388</v>
      </c>
      <c r="D2451" s="229">
        <v>75.133388</v>
      </c>
      <c r="E2451" s="229">
        <v>75.133388</v>
      </c>
      <c r="F2451" s="229"/>
      <c r="G2451" s="229"/>
      <c r="H2451" s="229"/>
      <c r="I2451" s="229"/>
      <c r="J2451" s="229"/>
      <c r="K2451" s="229"/>
      <c r="L2451" s="229"/>
      <c r="M2451" s="229"/>
      <c r="N2451" s="232"/>
    </row>
    <row r="2452" hidden="1" spans="1:14">
      <c r="A2452" s="235"/>
      <c r="B2452" s="230" t="s">
        <v>1039</v>
      </c>
      <c r="C2452" s="229">
        <v>12.522231</v>
      </c>
      <c r="D2452" s="229">
        <v>12.522231</v>
      </c>
      <c r="E2452" s="229">
        <v>12.522231</v>
      </c>
      <c r="F2452" s="229"/>
      <c r="G2452" s="229"/>
      <c r="H2452" s="229"/>
      <c r="I2452" s="229"/>
      <c r="J2452" s="229"/>
      <c r="K2452" s="229"/>
      <c r="L2452" s="229"/>
      <c r="M2452" s="229"/>
      <c r="N2452" s="232"/>
    </row>
    <row r="2453" hidden="1" spans="1:14">
      <c r="A2453" s="235"/>
      <c r="B2453" s="230" t="s">
        <v>1037</v>
      </c>
      <c r="C2453" s="229">
        <v>4.73634</v>
      </c>
      <c r="D2453" s="229">
        <v>4.73634</v>
      </c>
      <c r="E2453" s="229">
        <v>4.73634</v>
      </c>
      <c r="F2453" s="229"/>
      <c r="G2453" s="229"/>
      <c r="H2453" s="229"/>
      <c r="I2453" s="229"/>
      <c r="J2453" s="229"/>
      <c r="K2453" s="229"/>
      <c r="L2453" s="229"/>
      <c r="M2453" s="229"/>
      <c r="N2453" s="232"/>
    </row>
    <row r="2454" hidden="1" spans="1:14">
      <c r="A2454" s="235"/>
      <c r="B2454" s="230" t="s">
        <v>1031</v>
      </c>
      <c r="C2454" s="229">
        <v>33</v>
      </c>
      <c r="D2454" s="229">
        <v>33</v>
      </c>
      <c r="E2454" s="229">
        <v>33</v>
      </c>
      <c r="F2454" s="229"/>
      <c r="G2454" s="229"/>
      <c r="H2454" s="229"/>
      <c r="I2454" s="229"/>
      <c r="J2454" s="229"/>
      <c r="K2454" s="229"/>
      <c r="L2454" s="229"/>
      <c r="M2454" s="229"/>
      <c r="N2454" s="232"/>
    </row>
    <row r="2455" hidden="1" spans="1:14">
      <c r="A2455" s="235"/>
      <c r="B2455" s="230" t="s">
        <v>1035</v>
      </c>
      <c r="C2455" s="229">
        <v>6.4</v>
      </c>
      <c r="D2455" s="229">
        <v>6.4</v>
      </c>
      <c r="E2455" s="229">
        <v>6.4</v>
      </c>
      <c r="F2455" s="229"/>
      <c r="G2455" s="229"/>
      <c r="H2455" s="229"/>
      <c r="I2455" s="229"/>
      <c r="J2455" s="229"/>
      <c r="K2455" s="229"/>
      <c r="L2455" s="229"/>
      <c r="M2455" s="229"/>
      <c r="N2455" s="232"/>
    </row>
    <row r="2456" hidden="1" spans="1:14">
      <c r="A2456" s="235"/>
      <c r="B2456" s="230" t="s">
        <v>1033</v>
      </c>
      <c r="C2456" s="229">
        <v>204.865989</v>
      </c>
      <c r="D2456" s="229">
        <v>204.865989</v>
      </c>
      <c r="E2456" s="229">
        <v>204.865989</v>
      </c>
      <c r="F2456" s="229"/>
      <c r="G2456" s="229"/>
      <c r="H2456" s="229"/>
      <c r="I2456" s="229"/>
      <c r="J2456" s="229"/>
      <c r="K2456" s="229"/>
      <c r="L2456" s="229"/>
      <c r="M2456" s="229"/>
      <c r="N2456" s="232"/>
    </row>
    <row r="2457" hidden="1" spans="1:14">
      <c r="A2457" s="235"/>
      <c r="B2457" s="230" t="s">
        <v>1030</v>
      </c>
      <c r="C2457" s="229">
        <v>8</v>
      </c>
      <c r="D2457" s="229">
        <v>8</v>
      </c>
      <c r="E2457" s="229">
        <v>8</v>
      </c>
      <c r="F2457" s="229"/>
      <c r="G2457" s="229"/>
      <c r="H2457" s="229"/>
      <c r="I2457" s="229"/>
      <c r="J2457" s="229"/>
      <c r="K2457" s="229"/>
      <c r="L2457" s="229"/>
      <c r="M2457" s="229"/>
      <c r="N2457" s="232"/>
    </row>
    <row r="2458" hidden="1" spans="1:14">
      <c r="A2458" s="235"/>
      <c r="B2458" s="230" t="s">
        <v>1032</v>
      </c>
      <c r="C2458" s="229">
        <v>626.111568</v>
      </c>
      <c r="D2458" s="229">
        <v>626.111568</v>
      </c>
      <c r="E2458" s="229">
        <v>626.111568</v>
      </c>
      <c r="F2458" s="229"/>
      <c r="G2458" s="229"/>
      <c r="H2458" s="229"/>
      <c r="I2458" s="229"/>
      <c r="J2458" s="229"/>
      <c r="K2458" s="229"/>
      <c r="L2458" s="229"/>
      <c r="M2458" s="229"/>
      <c r="N2458" s="232"/>
    </row>
    <row r="2459" hidden="1" spans="1:14">
      <c r="A2459" s="235"/>
      <c r="B2459" s="230" t="s">
        <v>1029</v>
      </c>
      <c r="C2459" s="229">
        <v>87.48</v>
      </c>
      <c r="D2459" s="229">
        <v>87.48</v>
      </c>
      <c r="E2459" s="229">
        <v>87.48</v>
      </c>
      <c r="F2459" s="229"/>
      <c r="G2459" s="229"/>
      <c r="H2459" s="229"/>
      <c r="I2459" s="229"/>
      <c r="J2459" s="229"/>
      <c r="K2459" s="229"/>
      <c r="L2459" s="229"/>
      <c r="M2459" s="229"/>
      <c r="N2459" s="232"/>
    </row>
    <row r="2460" hidden="1" spans="1:14">
      <c r="A2460" s="235"/>
      <c r="B2460" s="230" t="s">
        <v>1038</v>
      </c>
      <c r="C2460" s="229">
        <v>1.95</v>
      </c>
      <c r="D2460" s="229">
        <v>1.95</v>
      </c>
      <c r="E2460" s="229">
        <v>1.95</v>
      </c>
      <c r="F2460" s="229"/>
      <c r="G2460" s="229"/>
      <c r="H2460" s="229"/>
      <c r="I2460" s="229"/>
      <c r="J2460" s="229"/>
      <c r="K2460" s="229"/>
      <c r="L2460" s="229"/>
      <c r="M2460" s="229"/>
      <c r="N2460" s="232"/>
    </row>
    <row r="2461" hidden="1" spans="1:14">
      <c r="A2461" s="235"/>
      <c r="B2461" s="230" t="s">
        <v>1034</v>
      </c>
      <c r="C2461" s="229">
        <v>14.196</v>
      </c>
      <c r="D2461" s="229">
        <v>14.196</v>
      </c>
      <c r="E2461" s="229">
        <v>14.196</v>
      </c>
      <c r="F2461" s="229"/>
      <c r="G2461" s="229"/>
      <c r="H2461" s="229"/>
      <c r="I2461" s="229"/>
      <c r="J2461" s="229"/>
      <c r="K2461" s="229"/>
      <c r="L2461" s="229"/>
      <c r="M2461" s="229"/>
      <c r="N2461" s="232"/>
    </row>
    <row r="2462" hidden="1" spans="1:14">
      <c r="A2462" s="209">
        <v>816002</v>
      </c>
      <c r="B2462" s="231" t="s">
        <v>943</v>
      </c>
      <c r="C2462" s="229">
        <v>216.745846</v>
      </c>
      <c r="D2462" s="229">
        <v>216.745846</v>
      </c>
      <c r="E2462" s="229">
        <v>216.745846</v>
      </c>
      <c r="F2462" s="229"/>
      <c r="G2462" s="229"/>
      <c r="H2462" s="229"/>
      <c r="I2462" s="229"/>
      <c r="J2462" s="229"/>
      <c r="K2462" s="229"/>
      <c r="L2462" s="229"/>
      <c r="M2462" s="229"/>
      <c r="N2462" s="233"/>
    </row>
    <row r="2463" hidden="1" spans="1:14">
      <c r="A2463" s="235"/>
      <c r="B2463" s="230" t="s">
        <v>1033</v>
      </c>
      <c r="C2463" s="229">
        <v>38.63415</v>
      </c>
      <c r="D2463" s="229">
        <v>38.63415</v>
      </c>
      <c r="E2463" s="229">
        <v>38.63415</v>
      </c>
      <c r="F2463" s="229"/>
      <c r="G2463" s="229"/>
      <c r="H2463" s="229"/>
      <c r="I2463" s="229"/>
      <c r="J2463" s="229"/>
      <c r="K2463" s="229"/>
      <c r="L2463" s="229"/>
      <c r="M2463" s="229"/>
      <c r="N2463" s="232"/>
    </row>
    <row r="2464" hidden="1" spans="1:14">
      <c r="A2464" s="235"/>
      <c r="B2464" s="230" t="s">
        <v>1036</v>
      </c>
      <c r="C2464" s="229">
        <v>15.280968</v>
      </c>
      <c r="D2464" s="229">
        <v>15.280968</v>
      </c>
      <c r="E2464" s="229">
        <v>15.280968</v>
      </c>
      <c r="F2464" s="229"/>
      <c r="G2464" s="229"/>
      <c r="H2464" s="229"/>
      <c r="I2464" s="229"/>
      <c r="J2464" s="229"/>
      <c r="K2464" s="229"/>
      <c r="L2464" s="229"/>
      <c r="M2464" s="229"/>
      <c r="N2464" s="232"/>
    </row>
    <row r="2465" hidden="1" spans="1:14">
      <c r="A2465" s="235"/>
      <c r="B2465" s="230" t="s">
        <v>1039</v>
      </c>
      <c r="C2465" s="229">
        <v>2.546828</v>
      </c>
      <c r="D2465" s="229">
        <v>2.546828</v>
      </c>
      <c r="E2465" s="229">
        <v>2.546828</v>
      </c>
      <c r="F2465" s="229"/>
      <c r="G2465" s="229"/>
      <c r="H2465" s="229"/>
      <c r="I2465" s="229"/>
      <c r="J2465" s="229"/>
      <c r="K2465" s="229"/>
      <c r="L2465" s="229"/>
      <c r="M2465" s="229"/>
      <c r="N2465" s="232"/>
    </row>
    <row r="2466" hidden="1" spans="1:14">
      <c r="A2466" s="235"/>
      <c r="B2466" s="230" t="s">
        <v>1038</v>
      </c>
      <c r="C2466" s="229">
        <v>0.21</v>
      </c>
      <c r="D2466" s="229">
        <v>0.21</v>
      </c>
      <c r="E2466" s="229">
        <v>0.21</v>
      </c>
      <c r="F2466" s="229"/>
      <c r="G2466" s="229"/>
      <c r="H2466" s="229"/>
      <c r="I2466" s="229"/>
      <c r="J2466" s="229"/>
      <c r="K2466" s="229"/>
      <c r="L2466" s="229"/>
      <c r="M2466" s="229"/>
      <c r="N2466" s="232"/>
    </row>
    <row r="2467" hidden="1" spans="1:14">
      <c r="A2467" s="235"/>
      <c r="B2467" s="230" t="s">
        <v>1035</v>
      </c>
      <c r="C2467" s="229">
        <v>0.7</v>
      </c>
      <c r="D2467" s="229">
        <v>0.7</v>
      </c>
      <c r="E2467" s="229">
        <v>0.7</v>
      </c>
      <c r="F2467" s="229"/>
      <c r="G2467" s="229"/>
      <c r="H2467" s="229"/>
      <c r="I2467" s="229"/>
      <c r="J2467" s="229"/>
      <c r="K2467" s="229"/>
      <c r="L2467" s="229"/>
      <c r="M2467" s="229"/>
      <c r="N2467" s="232"/>
    </row>
    <row r="2468" hidden="1" spans="1:14">
      <c r="A2468" s="235"/>
      <c r="B2468" s="230" t="s">
        <v>1028</v>
      </c>
      <c r="C2468" s="229">
        <v>20.58</v>
      </c>
      <c r="D2468" s="229">
        <v>20.58</v>
      </c>
      <c r="E2468" s="229">
        <v>20.58</v>
      </c>
      <c r="F2468" s="229"/>
      <c r="G2468" s="229"/>
      <c r="H2468" s="229"/>
      <c r="I2468" s="229"/>
      <c r="J2468" s="229"/>
      <c r="K2468" s="229"/>
      <c r="L2468" s="229"/>
      <c r="M2468" s="229"/>
      <c r="N2468" s="232"/>
    </row>
    <row r="2469" hidden="1" spans="1:14">
      <c r="A2469" s="235"/>
      <c r="B2469" s="230" t="s">
        <v>1029</v>
      </c>
      <c r="C2469" s="229">
        <v>8.91</v>
      </c>
      <c r="D2469" s="229">
        <v>8.91</v>
      </c>
      <c r="E2469" s="229">
        <v>8.91</v>
      </c>
      <c r="F2469" s="229"/>
      <c r="G2469" s="229"/>
      <c r="H2469" s="229"/>
      <c r="I2469" s="229"/>
      <c r="J2469" s="229"/>
      <c r="K2469" s="229"/>
      <c r="L2469" s="229"/>
      <c r="M2469" s="229"/>
      <c r="N2469" s="232"/>
    </row>
    <row r="2470" hidden="1" spans="1:14">
      <c r="A2470" s="235"/>
      <c r="B2470" s="230" t="s">
        <v>1034</v>
      </c>
      <c r="C2470" s="229">
        <v>2.028</v>
      </c>
      <c r="D2470" s="229">
        <v>2.028</v>
      </c>
      <c r="E2470" s="229">
        <v>2.028</v>
      </c>
      <c r="F2470" s="229"/>
      <c r="G2470" s="229"/>
      <c r="H2470" s="229"/>
      <c r="I2470" s="229"/>
      <c r="J2470" s="229"/>
      <c r="K2470" s="229"/>
      <c r="L2470" s="229"/>
      <c r="M2470" s="229"/>
      <c r="N2470" s="232"/>
    </row>
    <row r="2471" hidden="1" spans="1:14">
      <c r="A2471" s="235"/>
      <c r="B2471" s="230" t="s">
        <v>1037</v>
      </c>
      <c r="C2471" s="229">
        <v>0.5145</v>
      </c>
      <c r="D2471" s="229">
        <v>0.5145</v>
      </c>
      <c r="E2471" s="229">
        <v>0.5145</v>
      </c>
      <c r="F2471" s="229"/>
      <c r="G2471" s="229"/>
      <c r="H2471" s="229"/>
      <c r="I2471" s="229"/>
      <c r="J2471" s="229"/>
      <c r="K2471" s="229"/>
      <c r="L2471" s="229"/>
      <c r="M2471" s="229"/>
      <c r="N2471" s="232"/>
    </row>
    <row r="2472" hidden="1" spans="1:14">
      <c r="A2472" s="235"/>
      <c r="B2472" s="230" t="s">
        <v>1032</v>
      </c>
      <c r="C2472" s="229">
        <v>127.3414</v>
      </c>
      <c r="D2472" s="229">
        <v>127.3414</v>
      </c>
      <c r="E2472" s="229">
        <v>127.3414</v>
      </c>
      <c r="F2472" s="229"/>
      <c r="G2472" s="229"/>
      <c r="H2472" s="229"/>
      <c r="I2472" s="229"/>
      <c r="J2472" s="229"/>
      <c r="K2472" s="229"/>
      <c r="L2472" s="229"/>
      <c r="M2472" s="229"/>
      <c r="N2472" s="232"/>
    </row>
    <row r="2473" hidden="1" spans="1:14">
      <c r="A2473" s="209">
        <v>816003</v>
      </c>
      <c r="B2473" s="231" t="s">
        <v>945</v>
      </c>
      <c r="C2473" s="229">
        <v>321.972379</v>
      </c>
      <c r="D2473" s="229">
        <v>321.972379</v>
      </c>
      <c r="E2473" s="229">
        <v>321.972379</v>
      </c>
      <c r="F2473" s="229"/>
      <c r="G2473" s="229"/>
      <c r="H2473" s="229"/>
      <c r="I2473" s="229"/>
      <c r="J2473" s="229"/>
      <c r="K2473" s="229"/>
      <c r="L2473" s="229"/>
      <c r="M2473" s="229"/>
      <c r="N2473" s="233"/>
    </row>
    <row r="2474" hidden="1" spans="1:14">
      <c r="A2474" s="235"/>
      <c r="B2474" s="230" t="s">
        <v>1031</v>
      </c>
      <c r="C2474" s="229">
        <v>0.66</v>
      </c>
      <c r="D2474" s="229">
        <v>0.66</v>
      </c>
      <c r="E2474" s="229">
        <v>0.66</v>
      </c>
      <c r="F2474" s="229"/>
      <c r="G2474" s="229"/>
      <c r="H2474" s="229"/>
      <c r="I2474" s="229"/>
      <c r="J2474" s="229"/>
      <c r="K2474" s="229"/>
      <c r="L2474" s="229"/>
      <c r="M2474" s="229"/>
      <c r="N2474" s="232"/>
    </row>
    <row r="2475" hidden="1" spans="1:14">
      <c r="A2475" s="235"/>
      <c r="B2475" s="230" t="s">
        <v>1032</v>
      </c>
      <c r="C2475" s="229">
        <v>214.4796</v>
      </c>
      <c r="D2475" s="229">
        <v>214.4796</v>
      </c>
      <c r="E2475" s="229">
        <v>214.4796</v>
      </c>
      <c r="F2475" s="229"/>
      <c r="G2475" s="229"/>
      <c r="H2475" s="229"/>
      <c r="I2475" s="229"/>
      <c r="J2475" s="229"/>
      <c r="K2475" s="229"/>
      <c r="L2475" s="229"/>
      <c r="M2475" s="229"/>
      <c r="N2475" s="232"/>
    </row>
    <row r="2476" hidden="1" spans="1:14">
      <c r="A2476" s="235"/>
      <c r="B2476" s="230" t="s">
        <v>1028</v>
      </c>
      <c r="C2476" s="229">
        <v>2.94</v>
      </c>
      <c r="D2476" s="229">
        <v>2.94</v>
      </c>
      <c r="E2476" s="229">
        <v>2.94</v>
      </c>
      <c r="F2476" s="229"/>
      <c r="G2476" s="229"/>
      <c r="H2476" s="229"/>
      <c r="I2476" s="229"/>
      <c r="J2476" s="229"/>
      <c r="K2476" s="229"/>
      <c r="L2476" s="229"/>
      <c r="M2476" s="229"/>
      <c r="N2476" s="232"/>
    </row>
    <row r="2477" hidden="1" spans="1:14">
      <c r="A2477" s="235"/>
      <c r="B2477" s="230" t="s">
        <v>1036</v>
      </c>
      <c r="C2477" s="229">
        <v>25.737552</v>
      </c>
      <c r="D2477" s="229">
        <v>25.737552</v>
      </c>
      <c r="E2477" s="229">
        <v>25.737552</v>
      </c>
      <c r="F2477" s="229"/>
      <c r="G2477" s="229"/>
      <c r="H2477" s="229"/>
      <c r="I2477" s="229"/>
      <c r="J2477" s="229"/>
      <c r="K2477" s="229"/>
      <c r="L2477" s="229"/>
      <c r="M2477" s="229"/>
      <c r="N2477" s="232"/>
    </row>
    <row r="2478" hidden="1" spans="1:14">
      <c r="A2478" s="235"/>
      <c r="B2478" s="230" t="s">
        <v>1029</v>
      </c>
      <c r="C2478" s="229">
        <v>14.58</v>
      </c>
      <c r="D2478" s="229">
        <v>14.58</v>
      </c>
      <c r="E2478" s="229">
        <v>14.58</v>
      </c>
      <c r="F2478" s="229"/>
      <c r="G2478" s="229"/>
      <c r="H2478" s="229"/>
      <c r="I2478" s="229"/>
      <c r="J2478" s="229"/>
      <c r="K2478" s="229"/>
      <c r="L2478" s="229"/>
      <c r="M2478" s="229"/>
      <c r="N2478" s="232"/>
    </row>
    <row r="2479" hidden="1" spans="1:14">
      <c r="A2479" s="235"/>
      <c r="B2479" s="230" t="s">
        <v>1035</v>
      </c>
      <c r="C2479" s="229">
        <v>0.1</v>
      </c>
      <c r="D2479" s="229">
        <v>0.1</v>
      </c>
      <c r="E2479" s="229">
        <v>0.1</v>
      </c>
      <c r="F2479" s="229"/>
      <c r="G2479" s="229"/>
      <c r="H2479" s="229"/>
      <c r="I2479" s="229"/>
      <c r="J2479" s="229"/>
      <c r="K2479" s="229"/>
      <c r="L2479" s="229"/>
      <c r="M2479" s="229"/>
      <c r="N2479" s="232"/>
    </row>
    <row r="2480" hidden="1" spans="1:14">
      <c r="A2480" s="235"/>
      <c r="B2480" s="230" t="s">
        <v>1037</v>
      </c>
      <c r="C2480" s="229">
        <v>0.0735</v>
      </c>
      <c r="D2480" s="229">
        <v>0.0735</v>
      </c>
      <c r="E2480" s="229">
        <v>0.0735</v>
      </c>
      <c r="F2480" s="229"/>
      <c r="G2480" s="229"/>
      <c r="H2480" s="229"/>
      <c r="I2480" s="229"/>
      <c r="J2480" s="229"/>
      <c r="K2480" s="229"/>
      <c r="L2480" s="229"/>
      <c r="M2480" s="229"/>
      <c r="N2480" s="232"/>
    </row>
    <row r="2481" hidden="1" spans="1:14">
      <c r="A2481" s="235"/>
      <c r="B2481" s="230" t="s">
        <v>1039</v>
      </c>
      <c r="C2481" s="229">
        <v>4.289592</v>
      </c>
      <c r="D2481" s="229">
        <v>4.289592</v>
      </c>
      <c r="E2481" s="229">
        <v>4.289592</v>
      </c>
      <c r="F2481" s="229"/>
      <c r="G2481" s="229"/>
      <c r="H2481" s="229"/>
      <c r="I2481" s="229"/>
      <c r="J2481" s="229"/>
      <c r="K2481" s="229"/>
      <c r="L2481" s="229"/>
      <c r="M2481" s="229"/>
      <c r="N2481" s="232"/>
    </row>
    <row r="2482" hidden="1" spans="1:14">
      <c r="A2482" s="235"/>
      <c r="B2482" s="230" t="s">
        <v>1033</v>
      </c>
      <c r="C2482" s="229">
        <v>59.082135</v>
      </c>
      <c r="D2482" s="229">
        <v>59.082135</v>
      </c>
      <c r="E2482" s="229">
        <v>59.082135</v>
      </c>
      <c r="F2482" s="229"/>
      <c r="G2482" s="229"/>
      <c r="H2482" s="229"/>
      <c r="I2482" s="229"/>
      <c r="J2482" s="229"/>
      <c r="K2482" s="229"/>
      <c r="L2482" s="229"/>
      <c r="M2482" s="229"/>
      <c r="N2482" s="232"/>
    </row>
    <row r="2483" hidden="1" spans="1:14">
      <c r="A2483" s="235"/>
      <c r="B2483" s="230" t="s">
        <v>1038</v>
      </c>
      <c r="C2483" s="229">
        <v>0.03</v>
      </c>
      <c r="D2483" s="229">
        <v>0.03</v>
      </c>
      <c r="E2483" s="229">
        <v>0.03</v>
      </c>
      <c r="F2483" s="229"/>
      <c r="G2483" s="229"/>
      <c r="H2483" s="229"/>
      <c r="I2483" s="229"/>
      <c r="J2483" s="229"/>
      <c r="K2483" s="229"/>
      <c r="L2483" s="229"/>
      <c r="M2483" s="229"/>
      <c r="N2483" s="232"/>
    </row>
    <row r="2484" hidden="1" spans="1:14">
      <c r="A2484" s="209">
        <v>816004</v>
      </c>
      <c r="B2484" s="231" t="s">
        <v>947</v>
      </c>
      <c r="C2484" s="229">
        <v>158.069268</v>
      </c>
      <c r="D2484" s="229">
        <v>158.069268</v>
      </c>
      <c r="E2484" s="229">
        <v>158.069268</v>
      </c>
      <c r="F2484" s="229"/>
      <c r="G2484" s="229"/>
      <c r="H2484" s="229"/>
      <c r="I2484" s="229"/>
      <c r="J2484" s="229"/>
      <c r="K2484" s="229"/>
      <c r="L2484" s="229"/>
      <c r="M2484" s="229"/>
      <c r="N2484" s="233"/>
    </row>
    <row r="2485" hidden="1" spans="1:14">
      <c r="A2485" s="235"/>
      <c r="B2485" s="230" t="s">
        <v>1036</v>
      </c>
      <c r="C2485" s="229">
        <v>12.09444</v>
      </c>
      <c r="D2485" s="229">
        <v>12.09444</v>
      </c>
      <c r="E2485" s="229">
        <v>12.09444</v>
      </c>
      <c r="F2485" s="229"/>
      <c r="G2485" s="229"/>
      <c r="H2485" s="229"/>
      <c r="I2485" s="229"/>
      <c r="J2485" s="229"/>
      <c r="K2485" s="229"/>
      <c r="L2485" s="229"/>
      <c r="M2485" s="229"/>
      <c r="N2485" s="232"/>
    </row>
    <row r="2486" hidden="1" spans="1:14">
      <c r="A2486" s="235"/>
      <c r="B2486" s="230" t="s">
        <v>1029</v>
      </c>
      <c r="C2486" s="229">
        <v>7.29</v>
      </c>
      <c r="D2486" s="229">
        <v>7.29</v>
      </c>
      <c r="E2486" s="229">
        <v>7.29</v>
      </c>
      <c r="F2486" s="229"/>
      <c r="G2486" s="229"/>
      <c r="H2486" s="229"/>
      <c r="I2486" s="229"/>
      <c r="J2486" s="229"/>
      <c r="K2486" s="229"/>
      <c r="L2486" s="229"/>
      <c r="M2486" s="229"/>
      <c r="N2486" s="232"/>
    </row>
    <row r="2487" hidden="1" spans="1:14">
      <c r="A2487" s="235"/>
      <c r="B2487" s="230" t="s">
        <v>1035</v>
      </c>
      <c r="C2487" s="229">
        <v>0.2</v>
      </c>
      <c r="D2487" s="229">
        <v>0.2</v>
      </c>
      <c r="E2487" s="229">
        <v>0.2</v>
      </c>
      <c r="F2487" s="229"/>
      <c r="G2487" s="229"/>
      <c r="H2487" s="229"/>
      <c r="I2487" s="229"/>
      <c r="J2487" s="229"/>
      <c r="K2487" s="229"/>
      <c r="L2487" s="229"/>
      <c r="M2487" s="229"/>
      <c r="N2487" s="232"/>
    </row>
    <row r="2488" hidden="1" spans="1:14">
      <c r="A2488" s="235"/>
      <c r="B2488" s="230" t="s">
        <v>1037</v>
      </c>
      <c r="C2488" s="229">
        <v>0.147</v>
      </c>
      <c r="D2488" s="229">
        <v>0.147</v>
      </c>
      <c r="E2488" s="229">
        <v>0.147</v>
      </c>
      <c r="F2488" s="229"/>
      <c r="G2488" s="229"/>
      <c r="H2488" s="229"/>
      <c r="I2488" s="229"/>
      <c r="J2488" s="229"/>
      <c r="K2488" s="229"/>
      <c r="L2488" s="229"/>
      <c r="M2488" s="229"/>
      <c r="N2488" s="232"/>
    </row>
    <row r="2489" hidden="1" spans="1:14">
      <c r="A2489" s="235"/>
      <c r="B2489" s="230" t="s">
        <v>1039</v>
      </c>
      <c r="C2489" s="229">
        <v>2.01574</v>
      </c>
      <c r="D2489" s="229">
        <v>2.01574</v>
      </c>
      <c r="E2489" s="229">
        <v>2.01574</v>
      </c>
      <c r="F2489" s="229"/>
      <c r="G2489" s="229"/>
      <c r="H2489" s="229"/>
      <c r="I2489" s="229"/>
      <c r="J2489" s="229"/>
      <c r="K2489" s="229"/>
      <c r="L2489" s="229"/>
      <c r="M2489" s="229"/>
      <c r="N2489" s="232"/>
    </row>
    <row r="2490" hidden="1" spans="1:14">
      <c r="A2490" s="235"/>
      <c r="B2490" s="230" t="s">
        <v>1038</v>
      </c>
      <c r="C2490" s="229">
        <v>0.06</v>
      </c>
      <c r="D2490" s="229">
        <v>0.06</v>
      </c>
      <c r="E2490" s="229">
        <v>0.06</v>
      </c>
      <c r="F2490" s="229"/>
      <c r="G2490" s="229"/>
      <c r="H2490" s="229"/>
      <c r="I2490" s="229"/>
      <c r="J2490" s="229"/>
      <c r="K2490" s="229"/>
      <c r="L2490" s="229"/>
      <c r="M2490" s="229"/>
      <c r="N2490" s="232"/>
    </row>
    <row r="2491" hidden="1" spans="1:14">
      <c r="A2491" s="235"/>
      <c r="B2491" s="230" t="s">
        <v>1033</v>
      </c>
      <c r="C2491" s="229">
        <v>28.935088</v>
      </c>
      <c r="D2491" s="229">
        <v>28.935088</v>
      </c>
      <c r="E2491" s="229">
        <v>28.935088</v>
      </c>
      <c r="F2491" s="229"/>
      <c r="G2491" s="229"/>
      <c r="H2491" s="229"/>
      <c r="I2491" s="229"/>
      <c r="J2491" s="229"/>
      <c r="K2491" s="229"/>
      <c r="L2491" s="229"/>
      <c r="M2491" s="229"/>
      <c r="N2491" s="232"/>
    </row>
    <row r="2492" hidden="1" spans="1:14">
      <c r="A2492" s="235"/>
      <c r="B2492" s="230" t="s">
        <v>1031</v>
      </c>
      <c r="C2492" s="229">
        <v>0.66</v>
      </c>
      <c r="D2492" s="229">
        <v>0.66</v>
      </c>
      <c r="E2492" s="229">
        <v>0.66</v>
      </c>
      <c r="F2492" s="229"/>
      <c r="G2492" s="229"/>
      <c r="H2492" s="229"/>
      <c r="I2492" s="229"/>
      <c r="J2492" s="229"/>
      <c r="K2492" s="229"/>
      <c r="L2492" s="229"/>
      <c r="M2492" s="229"/>
      <c r="N2492" s="232"/>
    </row>
    <row r="2493" hidden="1" spans="1:14">
      <c r="A2493" s="235"/>
      <c r="B2493" s="230" t="s">
        <v>1032</v>
      </c>
      <c r="C2493" s="229">
        <v>100.787</v>
      </c>
      <c r="D2493" s="229">
        <v>100.787</v>
      </c>
      <c r="E2493" s="229">
        <v>100.787</v>
      </c>
      <c r="F2493" s="229"/>
      <c r="G2493" s="229"/>
      <c r="H2493" s="229"/>
      <c r="I2493" s="229"/>
      <c r="J2493" s="229"/>
      <c r="K2493" s="229"/>
      <c r="L2493" s="229"/>
      <c r="M2493" s="229"/>
      <c r="N2493" s="232"/>
    </row>
    <row r="2494" hidden="1" spans="1:14">
      <c r="A2494" s="235"/>
      <c r="B2494" s="230" t="s">
        <v>1028</v>
      </c>
      <c r="C2494" s="229">
        <v>5.88</v>
      </c>
      <c r="D2494" s="229">
        <v>5.88</v>
      </c>
      <c r="E2494" s="229">
        <v>5.88</v>
      </c>
      <c r="F2494" s="229"/>
      <c r="G2494" s="229"/>
      <c r="H2494" s="229"/>
      <c r="I2494" s="229"/>
      <c r="J2494" s="229"/>
      <c r="K2494" s="229"/>
      <c r="L2494" s="229"/>
      <c r="M2494" s="229"/>
      <c r="N2494" s="232"/>
    </row>
    <row r="2495" hidden="1" spans="1:14">
      <c r="A2495" s="209">
        <v>816005</v>
      </c>
      <c r="B2495" s="231" t="s">
        <v>949</v>
      </c>
      <c r="C2495" s="229">
        <v>99.524182</v>
      </c>
      <c r="D2495" s="229">
        <v>99.524182</v>
      </c>
      <c r="E2495" s="229">
        <v>99.524182</v>
      </c>
      <c r="F2495" s="229"/>
      <c r="G2495" s="229"/>
      <c r="H2495" s="229"/>
      <c r="I2495" s="229"/>
      <c r="J2495" s="229"/>
      <c r="K2495" s="229"/>
      <c r="L2495" s="229"/>
      <c r="M2495" s="229"/>
      <c r="N2495" s="233"/>
    </row>
    <row r="2496" hidden="1" spans="1:14">
      <c r="A2496" s="235"/>
      <c r="B2496" s="230" t="s">
        <v>1033</v>
      </c>
      <c r="C2496" s="229">
        <v>18.035586</v>
      </c>
      <c r="D2496" s="229">
        <v>18.035586</v>
      </c>
      <c r="E2496" s="229">
        <v>18.035586</v>
      </c>
      <c r="F2496" s="229"/>
      <c r="G2496" s="229"/>
      <c r="H2496" s="229"/>
      <c r="I2496" s="229"/>
      <c r="J2496" s="229"/>
      <c r="K2496" s="229"/>
      <c r="L2496" s="229"/>
      <c r="M2496" s="229"/>
      <c r="N2496" s="232"/>
    </row>
    <row r="2497" hidden="1" spans="1:14">
      <c r="A2497" s="235"/>
      <c r="B2497" s="230" t="s">
        <v>1032</v>
      </c>
      <c r="C2497" s="229">
        <v>66.63912</v>
      </c>
      <c r="D2497" s="229">
        <v>66.63912</v>
      </c>
      <c r="E2497" s="229">
        <v>66.63912</v>
      </c>
      <c r="F2497" s="229"/>
      <c r="G2497" s="229"/>
      <c r="H2497" s="229"/>
      <c r="I2497" s="229"/>
      <c r="J2497" s="229"/>
      <c r="K2497" s="229"/>
      <c r="L2497" s="229"/>
      <c r="M2497" s="229"/>
      <c r="N2497" s="232"/>
    </row>
    <row r="2498" hidden="1" spans="1:14">
      <c r="A2498" s="235"/>
      <c r="B2498" s="230" t="s">
        <v>1029</v>
      </c>
      <c r="C2498" s="229">
        <v>4.86</v>
      </c>
      <c r="D2498" s="229">
        <v>4.86</v>
      </c>
      <c r="E2498" s="229">
        <v>4.86</v>
      </c>
      <c r="F2498" s="229"/>
      <c r="G2498" s="229"/>
      <c r="H2498" s="229"/>
      <c r="I2498" s="229"/>
      <c r="J2498" s="229"/>
      <c r="K2498" s="229"/>
      <c r="L2498" s="229"/>
      <c r="M2498" s="229"/>
      <c r="N2498" s="232"/>
    </row>
    <row r="2499" hidden="1" spans="1:14">
      <c r="A2499" s="235"/>
      <c r="B2499" s="230" t="s">
        <v>1031</v>
      </c>
      <c r="C2499" s="229">
        <v>0.66</v>
      </c>
      <c r="D2499" s="229">
        <v>0.66</v>
      </c>
      <c r="E2499" s="229">
        <v>0.66</v>
      </c>
      <c r="F2499" s="229"/>
      <c r="G2499" s="229"/>
      <c r="H2499" s="229"/>
      <c r="I2499" s="229"/>
      <c r="J2499" s="229"/>
      <c r="K2499" s="229"/>
      <c r="L2499" s="229"/>
      <c r="M2499" s="229"/>
      <c r="N2499" s="232"/>
    </row>
    <row r="2500" hidden="1" spans="1:14">
      <c r="A2500" s="235"/>
      <c r="B2500" s="230" t="s">
        <v>1039</v>
      </c>
      <c r="C2500" s="229">
        <v>1.332782</v>
      </c>
      <c r="D2500" s="229">
        <v>1.332782</v>
      </c>
      <c r="E2500" s="229">
        <v>1.332782</v>
      </c>
      <c r="F2500" s="229"/>
      <c r="G2500" s="229"/>
      <c r="H2500" s="229"/>
      <c r="I2500" s="229"/>
      <c r="J2500" s="229"/>
      <c r="K2500" s="229"/>
      <c r="L2500" s="229"/>
      <c r="M2500" s="229"/>
      <c r="N2500" s="232"/>
    </row>
    <row r="2501" hidden="1" spans="1:14">
      <c r="A2501" s="235"/>
      <c r="B2501" s="230" t="s">
        <v>1036</v>
      </c>
      <c r="C2501" s="229">
        <v>7.996694</v>
      </c>
      <c r="D2501" s="229">
        <v>7.996694</v>
      </c>
      <c r="E2501" s="229">
        <v>7.996694</v>
      </c>
      <c r="F2501" s="229"/>
      <c r="G2501" s="229"/>
      <c r="H2501" s="229"/>
      <c r="I2501" s="229"/>
      <c r="J2501" s="229"/>
      <c r="K2501" s="229"/>
      <c r="L2501" s="229"/>
      <c r="M2501" s="229"/>
      <c r="N2501" s="232"/>
    </row>
    <row r="2502" hidden="1" spans="1:14">
      <c r="A2502" s="209">
        <v>817001</v>
      </c>
      <c r="B2502" s="231" t="s">
        <v>952</v>
      </c>
      <c r="C2502" s="229">
        <v>914.365477</v>
      </c>
      <c r="D2502" s="229">
        <v>914.365477</v>
      </c>
      <c r="E2502" s="229">
        <v>914.365477</v>
      </c>
      <c r="F2502" s="229"/>
      <c r="G2502" s="229"/>
      <c r="H2502" s="229"/>
      <c r="I2502" s="229"/>
      <c r="J2502" s="229"/>
      <c r="K2502" s="229"/>
      <c r="L2502" s="229"/>
      <c r="M2502" s="229"/>
      <c r="N2502" s="233"/>
    </row>
    <row r="2503" hidden="1" spans="1:14">
      <c r="A2503" s="235"/>
      <c r="B2503" s="230" t="s">
        <v>1036</v>
      </c>
      <c r="C2503" s="229">
        <v>59.223066</v>
      </c>
      <c r="D2503" s="229">
        <v>59.223066</v>
      </c>
      <c r="E2503" s="229">
        <v>59.223066</v>
      </c>
      <c r="F2503" s="229"/>
      <c r="G2503" s="229"/>
      <c r="H2503" s="229"/>
      <c r="I2503" s="229"/>
      <c r="J2503" s="229"/>
      <c r="K2503" s="229"/>
      <c r="L2503" s="229"/>
      <c r="M2503" s="229"/>
      <c r="N2503" s="232"/>
    </row>
    <row r="2504" hidden="1" spans="1:14">
      <c r="A2504" s="235"/>
      <c r="B2504" s="230" t="s">
        <v>1029</v>
      </c>
      <c r="C2504" s="229">
        <v>61.37</v>
      </c>
      <c r="D2504" s="229">
        <v>61.37</v>
      </c>
      <c r="E2504" s="229">
        <v>61.37</v>
      </c>
      <c r="F2504" s="229"/>
      <c r="G2504" s="229"/>
      <c r="H2504" s="229"/>
      <c r="I2504" s="229"/>
      <c r="J2504" s="229"/>
      <c r="K2504" s="229"/>
      <c r="L2504" s="229"/>
      <c r="M2504" s="229"/>
      <c r="N2504" s="232"/>
    </row>
    <row r="2505" hidden="1" spans="1:14">
      <c r="A2505" s="235"/>
      <c r="B2505" s="230" t="s">
        <v>1030</v>
      </c>
      <c r="C2505" s="229">
        <v>8</v>
      </c>
      <c r="D2505" s="229">
        <v>8</v>
      </c>
      <c r="E2505" s="229">
        <v>8</v>
      </c>
      <c r="F2505" s="229"/>
      <c r="G2505" s="229"/>
      <c r="H2505" s="229"/>
      <c r="I2505" s="229"/>
      <c r="J2505" s="229"/>
      <c r="K2505" s="229"/>
      <c r="L2505" s="229"/>
      <c r="M2505" s="229"/>
      <c r="N2505" s="232"/>
    </row>
    <row r="2506" hidden="1" spans="1:14">
      <c r="A2506" s="235"/>
      <c r="B2506" s="230" t="s">
        <v>1037</v>
      </c>
      <c r="C2506" s="229">
        <v>11.02398</v>
      </c>
      <c r="D2506" s="229">
        <v>11.02398</v>
      </c>
      <c r="E2506" s="229">
        <v>11.02398</v>
      </c>
      <c r="F2506" s="229"/>
      <c r="G2506" s="229"/>
      <c r="H2506" s="229"/>
      <c r="I2506" s="229"/>
      <c r="J2506" s="229"/>
      <c r="K2506" s="229"/>
      <c r="L2506" s="229"/>
      <c r="M2506" s="229"/>
      <c r="N2506" s="232"/>
    </row>
    <row r="2507" hidden="1" spans="1:14">
      <c r="A2507" s="235"/>
      <c r="B2507" s="230" t="s">
        <v>1038</v>
      </c>
      <c r="C2507" s="229">
        <v>0.99</v>
      </c>
      <c r="D2507" s="229">
        <v>0.99</v>
      </c>
      <c r="E2507" s="229">
        <v>0.99</v>
      </c>
      <c r="F2507" s="229"/>
      <c r="G2507" s="229"/>
      <c r="H2507" s="229"/>
      <c r="I2507" s="229"/>
      <c r="J2507" s="229"/>
      <c r="K2507" s="229"/>
      <c r="L2507" s="229"/>
      <c r="M2507" s="229"/>
      <c r="N2507" s="232"/>
    </row>
    <row r="2508" hidden="1" spans="1:14">
      <c r="A2508" s="235"/>
      <c r="B2508" s="230" t="s">
        <v>1039</v>
      </c>
      <c r="C2508" s="229">
        <v>9.870511</v>
      </c>
      <c r="D2508" s="229">
        <v>9.870511</v>
      </c>
      <c r="E2508" s="229">
        <v>9.870511</v>
      </c>
      <c r="F2508" s="229"/>
      <c r="G2508" s="229"/>
      <c r="H2508" s="229"/>
      <c r="I2508" s="229"/>
      <c r="J2508" s="229"/>
      <c r="K2508" s="229"/>
      <c r="L2508" s="229"/>
      <c r="M2508" s="229"/>
      <c r="N2508" s="232"/>
    </row>
    <row r="2509" hidden="1" spans="1:14">
      <c r="A2509" s="235"/>
      <c r="B2509" s="230" t="s">
        <v>1033</v>
      </c>
      <c r="C2509" s="229">
        <v>147.955168</v>
      </c>
      <c r="D2509" s="229">
        <v>147.955168</v>
      </c>
      <c r="E2509" s="229">
        <v>147.955168</v>
      </c>
      <c r="F2509" s="229"/>
      <c r="G2509" s="229"/>
      <c r="H2509" s="229"/>
      <c r="I2509" s="229"/>
      <c r="J2509" s="229"/>
      <c r="K2509" s="229"/>
      <c r="L2509" s="229"/>
      <c r="M2509" s="229"/>
      <c r="N2509" s="232"/>
    </row>
    <row r="2510" hidden="1" spans="1:14">
      <c r="A2510" s="235"/>
      <c r="B2510" s="230" t="s">
        <v>1035</v>
      </c>
      <c r="C2510" s="229">
        <v>3.3</v>
      </c>
      <c r="D2510" s="229">
        <v>3.3</v>
      </c>
      <c r="E2510" s="229">
        <v>3.3</v>
      </c>
      <c r="F2510" s="229"/>
      <c r="G2510" s="229"/>
      <c r="H2510" s="229"/>
      <c r="I2510" s="229"/>
      <c r="J2510" s="229"/>
      <c r="K2510" s="229"/>
      <c r="L2510" s="229"/>
      <c r="M2510" s="229"/>
      <c r="N2510" s="232"/>
    </row>
    <row r="2511" hidden="1" spans="1:14">
      <c r="A2511" s="235"/>
      <c r="B2511" s="230" t="s">
        <v>1031</v>
      </c>
      <c r="C2511" s="229">
        <v>24.468</v>
      </c>
      <c r="D2511" s="229">
        <v>24.468</v>
      </c>
      <c r="E2511" s="229">
        <v>24.468</v>
      </c>
      <c r="F2511" s="229"/>
      <c r="G2511" s="229"/>
      <c r="H2511" s="229"/>
      <c r="I2511" s="229"/>
      <c r="J2511" s="229"/>
      <c r="K2511" s="229"/>
      <c r="L2511" s="229"/>
      <c r="M2511" s="229"/>
      <c r="N2511" s="232"/>
    </row>
    <row r="2512" hidden="1" spans="1:14">
      <c r="A2512" s="235"/>
      <c r="B2512" s="230" t="s">
        <v>1032</v>
      </c>
      <c r="C2512" s="229">
        <v>493.525552</v>
      </c>
      <c r="D2512" s="229">
        <v>493.525552</v>
      </c>
      <c r="E2512" s="229">
        <v>493.525552</v>
      </c>
      <c r="F2512" s="229"/>
      <c r="G2512" s="229"/>
      <c r="H2512" s="229"/>
      <c r="I2512" s="229"/>
      <c r="J2512" s="229"/>
      <c r="K2512" s="229"/>
      <c r="L2512" s="229"/>
      <c r="M2512" s="229"/>
      <c r="N2512" s="232"/>
    </row>
    <row r="2513" hidden="1" spans="1:14">
      <c r="A2513" s="235"/>
      <c r="B2513" s="230" t="s">
        <v>1028</v>
      </c>
      <c r="C2513" s="229">
        <v>94.6392</v>
      </c>
      <c r="D2513" s="229">
        <v>94.6392</v>
      </c>
      <c r="E2513" s="229">
        <v>94.6392</v>
      </c>
      <c r="F2513" s="229"/>
      <c r="G2513" s="229"/>
      <c r="H2513" s="229"/>
      <c r="I2513" s="229"/>
      <c r="J2513" s="229"/>
      <c r="K2513" s="229"/>
      <c r="L2513" s="229"/>
      <c r="M2513" s="229"/>
      <c r="N2513" s="232"/>
    </row>
    <row r="2514" hidden="1" spans="1:14">
      <c r="A2514" s="209">
        <v>817002</v>
      </c>
      <c r="B2514" s="231" t="s">
        <v>954</v>
      </c>
      <c r="C2514" s="229">
        <v>269.56846</v>
      </c>
      <c r="D2514" s="229">
        <v>269.56846</v>
      </c>
      <c r="E2514" s="229">
        <v>269.56846</v>
      </c>
      <c r="F2514" s="229"/>
      <c r="G2514" s="229"/>
      <c r="H2514" s="229"/>
      <c r="I2514" s="229"/>
      <c r="J2514" s="229"/>
      <c r="K2514" s="229"/>
      <c r="L2514" s="229"/>
      <c r="M2514" s="229"/>
      <c r="N2514" s="233"/>
    </row>
    <row r="2515" hidden="1" spans="1:14">
      <c r="A2515" s="235"/>
      <c r="B2515" s="230" t="s">
        <v>1029</v>
      </c>
      <c r="C2515" s="229">
        <v>11.305</v>
      </c>
      <c r="D2515" s="229">
        <v>11.305</v>
      </c>
      <c r="E2515" s="229">
        <v>11.305</v>
      </c>
      <c r="F2515" s="229"/>
      <c r="G2515" s="229"/>
      <c r="H2515" s="229"/>
      <c r="I2515" s="229"/>
      <c r="J2515" s="229"/>
      <c r="K2515" s="229"/>
      <c r="L2515" s="229"/>
      <c r="M2515" s="229"/>
      <c r="N2515" s="232"/>
    </row>
    <row r="2516" hidden="1" spans="1:14">
      <c r="A2516" s="235"/>
      <c r="B2516" s="230" t="s">
        <v>1032</v>
      </c>
      <c r="C2516" s="229">
        <v>164.9644</v>
      </c>
      <c r="D2516" s="229">
        <v>164.9644</v>
      </c>
      <c r="E2516" s="229">
        <v>164.9644</v>
      </c>
      <c r="F2516" s="229"/>
      <c r="G2516" s="229"/>
      <c r="H2516" s="229"/>
      <c r="I2516" s="229"/>
      <c r="J2516" s="229"/>
      <c r="K2516" s="229"/>
      <c r="L2516" s="229"/>
      <c r="M2516" s="229"/>
      <c r="N2516" s="232"/>
    </row>
    <row r="2517" hidden="1" spans="1:14">
      <c r="A2517" s="235"/>
      <c r="B2517" s="230" t="s">
        <v>1037</v>
      </c>
      <c r="C2517" s="229">
        <v>0.5145</v>
      </c>
      <c r="D2517" s="229">
        <v>0.5145</v>
      </c>
      <c r="E2517" s="229">
        <v>0.5145</v>
      </c>
      <c r="F2517" s="229"/>
      <c r="G2517" s="229"/>
      <c r="H2517" s="229"/>
      <c r="I2517" s="229"/>
      <c r="J2517" s="229"/>
      <c r="K2517" s="229"/>
      <c r="L2517" s="229"/>
      <c r="M2517" s="229"/>
      <c r="N2517" s="232"/>
    </row>
    <row r="2518" hidden="1" spans="1:14">
      <c r="A2518" s="235"/>
      <c r="B2518" s="230" t="s">
        <v>1033</v>
      </c>
      <c r="C2518" s="229">
        <v>48.199544</v>
      </c>
      <c r="D2518" s="229">
        <v>48.199544</v>
      </c>
      <c r="E2518" s="229">
        <v>48.199544</v>
      </c>
      <c r="F2518" s="229"/>
      <c r="G2518" s="229"/>
      <c r="H2518" s="229"/>
      <c r="I2518" s="229"/>
      <c r="J2518" s="229"/>
      <c r="K2518" s="229"/>
      <c r="L2518" s="229"/>
      <c r="M2518" s="229"/>
      <c r="N2518" s="232"/>
    </row>
    <row r="2519" hidden="1" spans="1:14">
      <c r="A2519" s="235"/>
      <c r="B2519" s="230" t="s">
        <v>1039</v>
      </c>
      <c r="C2519" s="229">
        <v>3.299288</v>
      </c>
      <c r="D2519" s="229">
        <v>3.299288</v>
      </c>
      <c r="E2519" s="229">
        <v>3.299288</v>
      </c>
      <c r="F2519" s="229"/>
      <c r="G2519" s="229"/>
      <c r="H2519" s="229"/>
      <c r="I2519" s="229"/>
      <c r="J2519" s="229"/>
      <c r="K2519" s="229"/>
      <c r="L2519" s="229"/>
      <c r="M2519" s="229"/>
      <c r="N2519" s="232"/>
    </row>
    <row r="2520" hidden="1" spans="1:14">
      <c r="A2520" s="235"/>
      <c r="B2520" s="230" t="s">
        <v>1028</v>
      </c>
      <c r="C2520" s="229">
        <v>20.58</v>
      </c>
      <c r="D2520" s="229">
        <v>20.58</v>
      </c>
      <c r="E2520" s="229">
        <v>20.58</v>
      </c>
      <c r="F2520" s="229"/>
      <c r="G2520" s="229"/>
      <c r="H2520" s="229"/>
      <c r="I2520" s="229"/>
      <c r="J2520" s="229"/>
      <c r="K2520" s="229"/>
      <c r="L2520" s="229"/>
      <c r="M2520" s="229"/>
      <c r="N2520" s="232"/>
    </row>
    <row r="2521" hidden="1" spans="1:14">
      <c r="A2521" s="235"/>
      <c r="B2521" s="230" t="s">
        <v>1038</v>
      </c>
      <c r="C2521" s="229">
        <v>0.21</v>
      </c>
      <c r="D2521" s="229">
        <v>0.21</v>
      </c>
      <c r="E2521" s="229">
        <v>0.21</v>
      </c>
      <c r="F2521" s="229"/>
      <c r="G2521" s="229"/>
      <c r="H2521" s="229"/>
      <c r="I2521" s="229"/>
      <c r="J2521" s="229"/>
      <c r="K2521" s="229"/>
      <c r="L2521" s="229"/>
      <c r="M2521" s="229"/>
      <c r="N2521" s="232"/>
    </row>
    <row r="2522" hidden="1" spans="1:14">
      <c r="A2522" s="235"/>
      <c r="B2522" s="230" t="s">
        <v>1036</v>
      </c>
      <c r="C2522" s="229">
        <v>19.795728</v>
      </c>
      <c r="D2522" s="229">
        <v>19.795728</v>
      </c>
      <c r="E2522" s="229">
        <v>19.795728</v>
      </c>
      <c r="F2522" s="229"/>
      <c r="G2522" s="229"/>
      <c r="H2522" s="229"/>
      <c r="I2522" s="229"/>
      <c r="J2522" s="229"/>
      <c r="K2522" s="229"/>
      <c r="L2522" s="229"/>
      <c r="M2522" s="229"/>
      <c r="N2522" s="232"/>
    </row>
    <row r="2523" hidden="1" spans="1:14">
      <c r="A2523" s="235"/>
      <c r="B2523" s="230" t="s">
        <v>1035</v>
      </c>
      <c r="C2523" s="229">
        <v>0.7</v>
      </c>
      <c r="D2523" s="229">
        <v>0.7</v>
      </c>
      <c r="E2523" s="229">
        <v>0.7</v>
      </c>
      <c r="F2523" s="229"/>
      <c r="G2523" s="229"/>
      <c r="H2523" s="229"/>
      <c r="I2523" s="229"/>
      <c r="J2523" s="229"/>
      <c r="K2523" s="229"/>
      <c r="L2523" s="229"/>
      <c r="M2523" s="229"/>
      <c r="N2523" s="232"/>
    </row>
    <row r="2524" hidden="1" spans="1:14">
      <c r="A2524" s="209">
        <v>817003</v>
      </c>
      <c r="B2524" s="231" t="s">
        <v>956</v>
      </c>
      <c r="C2524" s="229">
        <v>16.070302</v>
      </c>
      <c r="D2524" s="229">
        <v>16.070302</v>
      </c>
      <c r="E2524" s="229">
        <v>16.070302</v>
      </c>
      <c r="F2524" s="229"/>
      <c r="G2524" s="229"/>
      <c r="H2524" s="229"/>
      <c r="I2524" s="229"/>
      <c r="J2524" s="229"/>
      <c r="K2524" s="229"/>
      <c r="L2524" s="229"/>
      <c r="M2524" s="229"/>
      <c r="N2524" s="233"/>
    </row>
    <row r="2525" hidden="1" spans="1:14">
      <c r="A2525" s="235"/>
      <c r="B2525" s="230" t="s">
        <v>1039</v>
      </c>
      <c r="C2525" s="229">
        <v>0.217132</v>
      </c>
      <c r="D2525" s="229">
        <v>0.217132</v>
      </c>
      <c r="E2525" s="229">
        <v>0.217132</v>
      </c>
      <c r="F2525" s="229"/>
      <c r="G2525" s="229"/>
      <c r="H2525" s="229"/>
      <c r="I2525" s="229"/>
      <c r="J2525" s="229"/>
      <c r="K2525" s="229"/>
      <c r="L2525" s="229"/>
      <c r="M2525" s="229"/>
      <c r="N2525" s="232"/>
    </row>
    <row r="2526" hidden="1" spans="1:14">
      <c r="A2526" s="235"/>
      <c r="B2526" s="230" t="s">
        <v>1029</v>
      </c>
      <c r="C2526" s="229">
        <v>0.8075</v>
      </c>
      <c r="D2526" s="229">
        <v>0.8075</v>
      </c>
      <c r="E2526" s="229">
        <v>0.8075</v>
      </c>
      <c r="F2526" s="229"/>
      <c r="G2526" s="229"/>
      <c r="H2526" s="229"/>
      <c r="I2526" s="229"/>
      <c r="J2526" s="229"/>
      <c r="K2526" s="229"/>
      <c r="L2526" s="229"/>
      <c r="M2526" s="229"/>
      <c r="N2526" s="232"/>
    </row>
    <row r="2527" hidden="1" spans="1:14">
      <c r="A2527" s="235"/>
      <c r="B2527" s="230" t="s">
        <v>1032</v>
      </c>
      <c r="C2527" s="229">
        <v>10.8566</v>
      </c>
      <c r="D2527" s="229">
        <v>10.8566</v>
      </c>
      <c r="E2527" s="229">
        <v>10.8566</v>
      </c>
      <c r="F2527" s="229"/>
      <c r="G2527" s="229"/>
      <c r="H2527" s="229"/>
      <c r="I2527" s="229"/>
      <c r="J2527" s="229"/>
      <c r="K2527" s="229"/>
      <c r="L2527" s="229"/>
      <c r="M2527" s="229"/>
      <c r="N2527" s="232"/>
    </row>
    <row r="2528" hidden="1" spans="1:14">
      <c r="A2528" s="235"/>
      <c r="B2528" s="230" t="s">
        <v>1033</v>
      </c>
      <c r="C2528" s="229">
        <v>2.886278</v>
      </c>
      <c r="D2528" s="229">
        <v>2.886278</v>
      </c>
      <c r="E2528" s="229">
        <v>2.886278</v>
      </c>
      <c r="F2528" s="229"/>
      <c r="G2528" s="229"/>
      <c r="H2528" s="229"/>
      <c r="I2528" s="229"/>
      <c r="J2528" s="229"/>
      <c r="K2528" s="229"/>
      <c r="L2528" s="229"/>
      <c r="M2528" s="229"/>
      <c r="N2528" s="232"/>
    </row>
    <row r="2529" hidden="1" spans="1:14">
      <c r="A2529" s="235"/>
      <c r="B2529" s="230" t="s">
        <v>1036</v>
      </c>
      <c r="C2529" s="229">
        <v>1.302792</v>
      </c>
      <c r="D2529" s="229">
        <v>1.302792</v>
      </c>
      <c r="E2529" s="229">
        <v>1.302792</v>
      </c>
      <c r="F2529" s="229"/>
      <c r="G2529" s="229"/>
      <c r="H2529" s="229"/>
      <c r="I2529" s="229"/>
      <c r="J2529" s="229"/>
      <c r="K2529" s="229"/>
      <c r="L2529" s="229"/>
      <c r="M2529" s="229"/>
      <c r="N2529" s="232"/>
    </row>
    <row r="2530" hidden="1" spans="1:14">
      <c r="A2530" s="209">
        <v>817004</v>
      </c>
      <c r="B2530" s="231" t="s">
        <v>958</v>
      </c>
      <c r="C2530" s="229">
        <v>69.958092</v>
      </c>
      <c r="D2530" s="229">
        <v>69.958092</v>
      </c>
      <c r="E2530" s="229">
        <v>69.958092</v>
      </c>
      <c r="F2530" s="229"/>
      <c r="G2530" s="229"/>
      <c r="H2530" s="229"/>
      <c r="I2530" s="229"/>
      <c r="J2530" s="229"/>
      <c r="K2530" s="229"/>
      <c r="L2530" s="229"/>
      <c r="M2530" s="229"/>
      <c r="N2530" s="233"/>
    </row>
    <row r="2531" hidden="1" spans="1:14">
      <c r="A2531" s="235"/>
      <c r="B2531" s="230" t="s">
        <v>1029</v>
      </c>
      <c r="C2531" s="229">
        <v>3.23</v>
      </c>
      <c r="D2531" s="229">
        <v>3.23</v>
      </c>
      <c r="E2531" s="229">
        <v>3.23</v>
      </c>
      <c r="F2531" s="229"/>
      <c r="G2531" s="229"/>
      <c r="H2531" s="229"/>
      <c r="I2531" s="229"/>
      <c r="J2531" s="229"/>
      <c r="K2531" s="229"/>
      <c r="L2531" s="229"/>
      <c r="M2531" s="229"/>
      <c r="N2531" s="232"/>
    </row>
    <row r="2532" hidden="1" spans="1:14">
      <c r="A2532" s="235"/>
      <c r="B2532" s="230" t="s">
        <v>1032</v>
      </c>
      <c r="C2532" s="229">
        <v>47.435984</v>
      </c>
      <c r="D2532" s="229">
        <v>47.435984</v>
      </c>
      <c r="E2532" s="229">
        <v>47.435984</v>
      </c>
      <c r="F2532" s="229"/>
      <c r="G2532" s="229"/>
      <c r="H2532" s="229"/>
      <c r="I2532" s="229"/>
      <c r="J2532" s="229"/>
      <c r="K2532" s="229"/>
      <c r="L2532" s="229"/>
      <c r="M2532" s="229"/>
      <c r="N2532" s="232"/>
    </row>
    <row r="2533" hidden="1" spans="1:14">
      <c r="A2533" s="235"/>
      <c r="B2533" s="230" t="s">
        <v>1039</v>
      </c>
      <c r="C2533" s="229">
        <v>0.94872</v>
      </c>
      <c r="D2533" s="229">
        <v>0.94872</v>
      </c>
      <c r="E2533" s="229">
        <v>0.94872</v>
      </c>
      <c r="F2533" s="229"/>
      <c r="G2533" s="229"/>
      <c r="H2533" s="229"/>
      <c r="I2533" s="229"/>
      <c r="J2533" s="229"/>
      <c r="K2533" s="229"/>
      <c r="L2533" s="229"/>
      <c r="M2533" s="229"/>
      <c r="N2533" s="232"/>
    </row>
    <row r="2534" hidden="1" spans="1:14">
      <c r="A2534" s="235"/>
      <c r="B2534" s="230" t="s">
        <v>1036</v>
      </c>
      <c r="C2534" s="229">
        <v>5.692318</v>
      </c>
      <c r="D2534" s="229">
        <v>5.692318</v>
      </c>
      <c r="E2534" s="229">
        <v>5.692318</v>
      </c>
      <c r="F2534" s="229"/>
      <c r="G2534" s="229"/>
      <c r="H2534" s="229"/>
      <c r="I2534" s="229"/>
      <c r="J2534" s="229"/>
      <c r="K2534" s="229"/>
      <c r="L2534" s="229"/>
      <c r="M2534" s="229"/>
      <c r="N2534" s="232"/>
    </row>
    <row r="2535" hidden="1" spans="1:14">
      <c r="A2535" s="235"/>
      <c r="B2535" s="230" t="s">
        <v>1033</v>
      </c>
      <c r="C2535" s="229">
        <v>12.65107</v>
      </c>
      <c r="D2535" s="229">
        <v>12.65107</v>
      </c>
      <c r="E2535" s="229">
        <v>12.65107</v>
      </c>
      <c r="F2535" s="229"/>
      <c r="G2535" s="229"/>
      <c r="H2535" s="229"/>
      <c r="I2535" s="229"/>
      <c r="J2535" s="229"/>
      <c r="K2535" s="229"/>
      <c r="L2535" s="229"/>
      <c r="M2535" s="229"/>
      <c r="N2535" s="232"/>
    </row>
    <row r="2536" hidden="1" spans="1:14">
      <c r="A2536" s="209">
        <v>817005</v>
      </c>
      <c r="B2536" s="231" t="s">
        <v>960</v>
      </c>
      <c r="C2536" s="229">
        <v>33.328979</v>
      </c>
      <c r="D2536" s="229">
        <v>33.328979</v>
      </c>
      <c r="E2536" s="229">
        <v>33.328979</v>
      </c>
      <c r="F2536" s="229"/>
      <c r="G2536" s="229"/>
      <c r="H2536" s="229"/>
      <c r="I2536" s="229"/>
      <c r="J2536" s="229"/>
      <c r="K2536" s="229"/>
      <c r="L2536" s="229"/>
      <c r="M2536" s="229"/>
      <c r="N2536" s="233"/>
    </row>
    <row r="2537" hidden="1" spans="1:14">
      <c r="A2537" s="235"/>
      <c r="B2537" s="230" t="s">
        <v>1029</v>
      </c>
      <c r="C2537" s="229">
        <v>1.615</v>
      </c>
      <c r="D2537" s="229">
        <v>1.615</v>
      </c>
      <c r="E2537" s="229">
        <v>1.615</v>
      </c>
      <c r="F2537" s="229"/>
      <c r="G2537" s="229"/>
      <c r="H2537" s="229"/>
      <c r="I2537" s="229"/>
      <c r="J2537" s="229"/>
      <c r="K2537" s="229"/>
      <c r="L2537" s="229"/>
      <c r="M2537" s="229"/>
      <c r="N2537" s="232"/>
    </row>
    <row r="2538" hidden="1" spans="1:14">
      <c r="A2538" s="235"/>
      <c r="B2538" s="230" t="s">
        <v>1036</v>
      </c>
      <c r="C2538" s="229">
        <v>2.706096</v>
      </c>
      <c r="D2538" s="229">
        <v>2.706096</v>
      </c>
      <c r="E2538" s="229">
        <v>2.706096</v>
      </c>
      <c r="F2538" s="229"/>
      <c r="G2538" s="229"/>
      <c r="H2538" s="229"/>
      <c r="I2538" s="229"/>
      <c r="J2538" s="229"/>
      <c r="K2538" s="229"/>
      <c r="L2538" s="229"/>
      <c r="M2538" s="229"/>
      <c r="N2538" s="232"/>
    </row>
    <row r="2539" hidden="1" spans="1:14">
      <c r="A2539" s="235"/>
      <c r="B2539" s="230" t="s">
        <v>1033</v>
      </c>
      <c r="C2539" s="229">
        <v>6.006067</v>
      </c>
      <c r="D2539" s="229">
        <v>6.006067</v>
      </c>
      <c r="E2539" s="229">
        <v>6.006067</v>
      </c>
      <c r="F2539" s="229"/>
      <c r="G2539" s="229"/>
      <c r="H2539" s="229"/>
      <c r="I2539" s="229"/>
      <c r="J2539" s="229"/>
      <c r="K2539" s="229"/>
      <c r="L2539" s="229"/>
      <c r="M2539" s="229"/>
      <c r="N2539" s="232"/>
    </row>
    <row r="2540" hidden="1" spans="1:14">
      <c r="A2540" s="235"/>
      <c r="B2540" s="230" t="s">
        <v>1039</v>
      </c>
      <c r="C2540" s="229">
        <v>0.451016</v>
      </c>
      <c r="D2540" s="229">
        <v>0.451016</v>
      </c>
      <c r="E2540" s="229">
        <v>0.451016</v>
      </c>
      <c r="F2540" s="229"/>
      <c r="G2540" s="229"/>
      <c r="H2540" s="229"/>
      <c r="I2540" s="229"/>
      <c r="J2540" s="229"/>
      <c r="K2540" s="229"/>
      <c r="L2540" s="229"/>
      <c r="M2540" s="229"/>
      <c r="N2540" s="232"/>
    </row>
    <row r="2541" hidden="1" spans="1:14">
      <c r="A2541" s="235"/>
      <c r="B2541" s="230" t="s">
        <v>1032</v>
      </c>
      <c r="C2541" s="229">
        <v>22.5508</v>
      </c>
      <c r="D2541" s="229">
        <v>22.5508</v>
      </c>
      <c r="E2541" s="229">
        <v>22.5508</v>
      </c>
      <c r="F2541" s="229"/>
      <c r="G2541" s="229"/>
      <c r="H2541" s="229"/>
      <c r="I2541" s="229"/>
      <c r="J2541" s="229"/>
      <c r="K2541" s="229"/>
      <c r="L2541" s="229"/>
      <c r="M2541" s="229"/>
      <c r="N2541" s="232"/>
    </row>
    <row r="2542" hidden="1" spans="1:14">
      <c r="A2542" s="209">
        <v>818001</v>
      </c>
      <c r="B2542" s="231" t="s">
        <v>963</v>
      </c>
      <c r="C2542" s="229">
        <v>1290.814738</v>
      </c>
      <c r="D2542" s="229">
        <v>1290.814738</v>
      </c>
      <c r="E2542" s="229">
        <v>1290.814738</v>
      </c>
      <c r="F2542" s="229"/>
      <c r="G2542" s="229"/>
      <c r="H2542" s="229"/>
      <c r="I2542" s="229"/>
      <c r="J2542" s="229"/>
      <c r="K2542" s="229"/>
      <c r="L2542" s="229"/>
      <c r="M2542" s="229"/>
      <c r="N2542" s="233"/>
    </row>
    <row r="2543" hidden="1" spans="1:14">
      <c r="A2543" s="235"/>
      <c r="B2543" s="230" t="s">
        <v>1029</v>
      </c>
      <c r="C2543" s="229">
        <v>82.62</v>
      </c>
      <c r="D2543" s="229">
        <v>82.62</v>
      </c>
      <c r="E2543" s="229">
        <v>82.62</v>
      </c>
      <c r="F2543" s="229"/>
      <c r="G2543" s="229"/>
      <c r="H2543" s="229"/>
      <c r="I2543" s="229"/>
      <c r="J2543" s="229"/>
      <c r="K2543" s="229"/>
      <c r="L2543" s="229"/>
      <c r="M2543" s="229"/>
      <c r="N2543" s="232"/>
    </row>
    <row r="2544" hidden="1" spans="1:14">
      <c r="A2544" s="235"/>
      <c r="B2544" s="230" t="s">
        <v>1036</v>
      </c>
      <c r="C2544" s="229">
        <v>72.60174</v>
      </c>
      <c r="D2544" s="229">
        <v>72.60174</v>
      </c>
      <c r="E2544" s="229">
        <v>72.60174</v>
      </c>
      <c r="F2544" s="229"/>
      <c r="G2544" s="229"/>
      <c r="H2544" s="229"/>
      <c r="I2544" s="229"/>
      <c r="J2544" s="229"/>
      <c r="K2544" s="229"/>
      <c r="L2544" s="229"/>
      <c r="M2544" s="229"/>
      <c r="N2544" s="232"/>
    </row>
    <row r="2545" hidden="1" spans="1:14">
      <c r="A2545" s="235"/>
      <c r="B2545" s="230" t="s">
        <v>1039</v>
      </c>
      <c r="C2545" s="229">
        <v>12.10029</v>
      </c>
      <c r="D2545" s="229">
        <v>12.10029</v>
      </c>
      <c r="E2545" s="229">
        <v>12.10029</v>
      </c>
      <c r="F2545" s="229"/>
      <c r="G2545" s="229"/>
      <c r="H2545" s="229"/>
      <c r="I2545" s="229"/>
      <c r="J2545" s="229"/>
      <c r="K2545" s="229"/>
      <c r="L2545" s="229"/>
      <c r="M2545" s="229"/>
      <c r="N2545" s="232"/>
    </row>
    <row r="2546" hidden="1" spans="1:14">
      <c r="A2546" s="235"/>
      <c r="B2546" s="230" t="s">
        <v>1033</v>
      </c>
      <c r="C2546" s="229">
        <v>256.752924</v>
      </c>
      <c r="D2546" s="229">
        <v>256.752924</v>
      </c>
      <c r="E2546" s="229">
        <v>256.752924</v>
      </c>
      <c r="F2546" s="229"/>
      <c r="G2546" s="229"/>
      <c r="H2546" s="229"/>
      <c r="I2546" s="229"/>
      <c r="J2546" s="229"/>
      <c r="K2546" s="229"/>
      <c r="L2546" s="229"/>
      <c r="M2546" s="229"/>
      <c r="N2546" s="232"/>
    </row>
    <row r="2547" hidden="1" spans="1:14">
      <c r="A2547" s="235"/>
      <c r="B2547" s="230" t="s">
        <v>1035</v>
      </c>
      <c r="C2547" s="229">
        <v>6.2</v>
      </c>
      <c r="D2547" s="229">
        <v>6.2</v>
      </c>
      <c r="E2547" s="229">
        <v>6.2</v>
      </c>
      <c r="F2547" s="229"/>
      <c r="G2547" s="229"/>
      <c r="H2547" s="229"/>
      <c r="I2547" s="229"/>
      <c r="J2547" s="229"/>
      <c r="K2547" s="229"/>
      <c r="L2547" s="229"/>
      <c r="M2547" s="229"/>
      <c r="N2547" s="232"/>
    </row>
    <row r="2548" hidden="1" spans="1:14">
      <c r="A2548" s="235"/>
      <c r="B2548" s="230" t="s">
        <v>1031</v>
      </c>
      <c r="C2548" s="229">
        <v>29.808</v>
      </c>
      <c r="D2548" s="229">
        <v>29.808</v>
      </c>
      <c r="E2548" s="229">
        <v>29.808</v>
      </c>
      <c r="F2548" s="229"/>
      <c r="G2548" s="229"/>
      <c r="H2548" s="229"/>
      <c r="I2548" s="229"/>
      <c r="J2548" s="229"/>
      <c r="K2548" s="229"/>
      <c r="L2548" s="229"/>
      <c r="M2548" s="229"/>
      <c r="N2548" s="232"/>
    </row>
    <row r="2549" hidden="1" spans="1:14">
      <c r="A2549" s="235"/>
      <c r="B2549" s="230" t="s">
        <v>1028</v>
      </c>
      <c r="C2549" s="229">
        <v>184.4616</v>
      </c>
      <c r="D2549" s="229">
        <v>184.4616</v>
      </c>
      <c r="E2549" s="229">
        <v>184.4616</v>
      </c>
      <c r="F2549" s="229"/>
      <c r="G2549" s="229"/>
      <c r="H2549" s="229"/>
      <c r="I2549" s="229"/>
      <c r="J2549" s="229"/>
      <c r="K2549" s="229"/>
      <c r="L2549" s="229"/>
      <c r="M2549" s="229"/>
      <c r="N2549" s="232"/>
    </row>
    <row r="2550" hidden="1" spans="1:14">
      <c r="A2550" s="235"/>
      <c r="B2550" s="230" t="s">
        <v>1030</v>
      </c>
      <c r="C2550" s="229">
        <v>8</v>
      </c>
      <c r="D2550" s="229">
        <v>8</v>
      </c>
      <c r="E2550" s="229">
        <v>8</v>
      </c>
      <c r="F2550" s="229"/>
      <c r="G2550" s="229"/>
      <c r="H2550" s="229"/>
      <c r="I2550" s="229"/>
      <c r="J2550" s="229"/>
      <c r="K2550" s="229"/>
      <c r="L2550" s="229"/>
      <c r="M2550" s="229"/>
      <c r="N2550" s="232"/>
    </row>
    <row r="2551" hidden="1" spans="1:14">
      <c r="A2551" s="235"/>
      <c r="B2551" s="230" t="s">
        <v>1032</v>
      </c>
      <c r="C2551" s="229">
        <v>605.0145</v>
      </c>
      <c r="D2551" s="229">
        <v>605.0145</v>
      </c>
      <c r="E2551" s="229">
        <v>605.0145</v>
      </c>
      <c r="F2551" s="229"/>
      <c r="G2551" s="229"/>
      <c r="H2551" s="229"/>
      <c r="I2551" s="229"/>
      <c r="J2551" s="229"/>
      <c r="K2551" s="229"/>
      <c r="L2551" s="229"/>
      <c r="M2551" s="229"/>
      <c r="N2551" s="232"/>
    </row>
    <row r="2552" hidden="1" spans="1:14">
      <c r="A2552" s="235"/>
      <c r="B2552" s="230" t="s">
        <v>1038</v>
      </c>
      <c r="C2552" s="229">
        <v>0.086</v>
      </c>
      <c r="D2552" s="229">
        <v>0.086</v>
      </c>
      <c r="E2552" s="229">
        <v>0.086</v>
      </c>
      <c r="F2552" s="229"/>
      <c r="G2552" s="229"/>
      <c r="H2552" s="229"/>
      <c r="I2552" s="229"/>
      <c r="J2552" s="229"/>
      <c r="K2552" s="229"/>
      <c r="L2552" s="229"/>
      <c r="M2552" s="229"/>
      <c r="N2552" s="232"/>
    </row>
    <row r="2553" hidden="1" spans="1:14">
      <c r="A2553" s="235"/>
      <c r="B2553" s="230" t="s">
        <v>1042</v>
      </c>
      <c r="C2553" s="229">
        <v>0.17</v>
      </c>
      <c r="D2553" s="229">
        <v>0.17</v>
      </c>
      <c r="E2553" s="229">
        <v>0.17</v>
      </c>
      <c r="F2553" s="229"/>
      <c r="G2553" s="229"/>
      <c r="H2553" s="229"/>
      <c r="I2553" s="229"/>
      <c r="J2553" s="229"/>
      <c r="K2553" s="229"/>
      <c r="L2553" s="229"/>
      <c r="M2553" s="229"/>
      <c r="N2553" s="232"/>
    </row>
    <row r="2554" hidden="1" spans="1:14">
      <c r="A2554" s="235"/>
      <c r="B2554" s="230" t="s">
        <v>1037</v>
      </c>
      <c r="C2554" s="229">
        <v>32.999684</v>
      </c>
      <c r="D2554" s="229">
        <v>32.999684</v>
      </c>
      <c r="E2554" s="229">
        <v>32.999684</v>
      </c>
      <c r="F2554" s="229"/>
      <c r="G2554" s="229"/>
      <c r="H2554" s="229"/>
      <c r="I2554" s="229"/>
      <c r="J2554" s="229"/>
      <c r="K2554" s="229"/>
      <c r="L2554" s="229"/>
      <c r="M2554" s="229"/>
      <c r="N2554" s="232"/>
    </row>
    <row r="2555" hidden="1" spans="1:14">
      <c r="A2555" s="209">
        <v>818002</v>
      </c>
      <c r="B2555" s="231" t="s">
        <v>965</v>
      </c>
      <c r="C2555" s="229">
        <v>291.956454</v>
      </c>
      <c r="D2555" s="229">
        <v>291.956454</v>
      </c>
      <c r="E2555" s="229">
        <v>291.956454</v>
      </c>
      <c r="F2555" s="229"/>
      <c r="G2555" s="229"/>
      <c r="H2555" s="229"/>
      <c r="I2555" s="229"/>
      <c r="J2555" s="229"/>
      <c r="K2555" s="229"/>
      <c r="L2555" s="229"/>
      <c r="M2555" s="229"/>
      <c r="N2555" s="233"/>
    </row>
    <row r="2556" hidden="1" spans="1:14">
      <c r="A2556" s="235"/>
      <c r="B2556" s="230" t="s">
        <v>1037</v>
      </c>
      <c r="C2556" s="229">
        <v>1.176</v>
      </c>
      <c r="D2556" s="229">
        <v>1.176</v>
      </c>
      <c r="E2556" s="229">
        <v>1.176</v>
      </c>
      <c r="F2556" s="229"/>
      <c r="G2556" s="229"/>
      <c r="H2556" s="229"/>
      <c r="I2556" s="229"/>
      <c r="J2556" s="229"/>
      <c r="K2556" s="229"/>
      <c r="L2556" s="229"/>
      <c r="M2556" s="229"/>
      <c r="N2556" s="232"/>
    </row>
    <row r="2557" hidden="1" spans="1:14">
      <c r="A2557" s="235"/>
      <c r="B2557" s="230" t="s">
        <v>1032</v>
      </c>
      <c r="C2557" s="229">
        <v>146.8116</v>
      </c>
      <c r="D2557" s="229">
        <v>146.8116</v>
      </c>
      <c r="E2557" s="229">
        <v>146.8116</v>
      </c>
      <c r="F2557" s="229"/>
      <c r="G2557" s="229"/>
      <c r="H2557" s="229"/>
      <c r="I2557" s="229"/>
      <c r="J2557" s="229"/>
      <c r="K2557" s="229"/>
      <c r="L2557" s="229"/>
      <c r="M2557" s="229"/>
      <c r="N2557" s="232"/>
    </row>
    <row r="2558" hidden="1" spans="1:14">
      <c r="A2558" s="235"/>
      <c r="B2558" s="230" t="s">
        <v>1033</v>
      </c>
      <c r="C2558" s="229">
        <v>64.57523</v>
      </c>
      <c r="D2558" s="229">
        <v>64.57523</v>
      </c>
      <c r="E2558" s="229">
        <v>64.57523</v>
      </c>
      <c r="F2558" s="229"/>
      <c r="G2558" s="229"/>
      <c r="H2558" s="229"/>
      <c r="I2558" s="229"/>
      <c r="J2558" s="229"/>
      <c r="K2558" s="229"/>
      <c r="L2558" s="229"/>
      <c r="M2558" s="229"/>
      <c r="N2558" s="232"/>
    </row>
    <row r="2559" hidden="1" spans="1:14">
      <c r="A2559" s="235"/>
      <c r="B2559" s="230" t="s">
        <v>1036</v>
      </c>
      <c r="C2559" s="229">
        <v>17.617392</v>
      </c>
      <c r="D2559" s="229">
        <v>17.617392</v>
      </c>
      <c r="E2559" s="229">
        <v>17.617392</v>
      </c>
      <c r="F2559" s="229"/>
      <c r="G2559" s="229"/>
      <c r="H2559" s="229"/>
      <c r="I2559" s="229"/>
      <c r="J2559" s="229"/>
      <c r="K2559" s="229"/>
      <c r="L2559" s="229"/>
      <c r="M2559" s="229"/>
      <c r="N2559" s="232"/>
    </row>
    <row r="2560" hidden="1" spans="1:14">
      <c r="A2560" s="235"/>
      <c r="B2560" s="230" t="s">
        <v>1035</v>
      </c>
      <c r="C2560" s="229">
        <v>1.6</v>
      </c>
      <c r="D2560" s="229">
        <v>1.6</v>
      </c>
      <c r="E2560" s="229">
        <v>1.6</v>
      </c>
      <c r="F2560" s="229"/>
      <c r="G2560" s="229"/>
      <c r="H2560" s="229"/>
      <c r="I2560" s="229"/>
      <c r="J2560" s="229"/>
      <c r="K2560" s="229"/>
      <c r="L2560" s="229"/>
      <c r="M2560" s="229"/>
      <c r="N2560" s="232"/>
    </row>
    <row r="2561" hidden="1" spans="1:14">
      <c r="A2561" s="235"/>
      <c r="B2561" s="230" t="s">
        <v>1039</v>
      </c>
      <c r="C2561" s="229">
        <v>2.936232</v>
      </c>
      <c r="D2561" s="229">
        <v>2.936232</v>
      </c>
      <c r="E2561" s="229">
        <v>2.936232</v>
      </c>
      <c r="F2561" s="229"/>
      <c r="G2561" s="229"/>
      <c r="H2561" s="229"/>
      <c r="I2561" s="229"/>
      <c r="J2561" s="229"/>
      <c r="K2561" s="229"/>
      <c r="L2561" s="229"/>
      <c r="M2561" s="229"/>
      <c r="N2561" s="232"/>
    </row>
    <row r="2562" hidden="1" spans="1:14">
      <c r="A2562" s="235"/>
      <c r="B2562" s="230" t="s">
        <v>1038</v>
      </c>
      <c r="C2562" s="229">
        <v>0.48</v>
      </c>
      <c r="D2562" s="229">
        <v>0.48</v>
      </c>
      <c r="E2562" s="229">
        <v>0.48</v>
      </c>
      <c r="F2562" s="229"/>
      <c r="G2562" s="229"/>
      <c r="H2562" s="229"/>
      <c r="I2562" s="229"/>
      <c r="J2562" s="229"/>
      <c r="K2562" s="229"/>
      <c r="L2562" s="229"/>
      <c r="M2562" s="229"/>
      <c r="N2562" s="232"/>
    </row>
    <row r="2563" hidden="1" spans="1:14">
      <c r="A2563" s="235"/>
      <c r="B2563" s="230" t="s">
        <v>1028</v>
      </c>
      <c r="C2563" s="229">
        <v>47.04</v>
      </c>
      <c r="D2563" s="229">
        <v>47.04</v>
      </c>
      <c r="E2563" s="229">
        <v>47.04</v>
      </c>
      <c r="F2563" s="229"/>
      <c r="G2563" s="229"/>
      <c r="H2563" s="229"/>
      <c r="I2563" s="229"/>
      <c r="J2563" s="229"/>
      <c r="K2563" s="229"/>
      <c r="L2563" s="229"/>
      <c r="M2563" s="229"/>
      <c r="N2563" s="232"/>
    </row>
    <row r="2564" hidden="1" spans="1:14">
      <c r="A2564" s="235"/>
      <c r="B2564" s="230" t="s">
        <v>1029</v>
      </c>
      <c r="C2564" s="229">
        <v>9.72</v>
      </c>
      <c r="D2564" s="229">
        <v>9.72</v>
      </c>
      <c r="E2564" s="229">
        <v>9.72</v>
      </c>
      <c r="F2564" s="229"/>
      <c r="G2564" s="229"/>
      <c r="H2564" s="229"/>
      <c r="I2564" s="229"/>
      <c r="J2564" s="229"/>
      <c r="K2564" s="229"/>
      <c r="L2564" s="229"/>
      <c r="M2564" s="229"/>
      <c r="N2564" s="232"/>
    </row>
    <row r="2565" hidden="1" spans="1:14">
      <c r="A2565" s="209">
        <v>818003</v>
      </c>
      <c r="B2565" s="231" t="s">
        <v>967</v>
      </c>
      <c r="C2565" s="229">
        <v>357.959782</v>
      </c>
      <c r="D2565" s="229">
        <v>357.959782</v>
      </c>
      <c r="E2565" s="229">
        <v>357.959782</v>
      </c>
      <c r="F2565" s="229"/>
      <c r="G2565" s="229"/>
      <c r="H2565" s="229"/>
      <c r="I2565" s="229"/>
      <c r="J2565" s="229"/>
      <c r="K2565" s="229"/>
      <c r="L2565" s="229"/>
      <c r="M2565" s="229"/>
      <c r="N2565" s="233"/>
    </row>
    <row r="2566" hidden="1" spans="1:14">
      <c r="A2566" s="235"/>
      <c r="B2566" s="230" t="s">
        <v>1033</v>
      </c>
      <c r="C2566" s="229">
        <v>66.100282</v>
      </c>
      <c r="D2566" s="229">
        <v>66.100282</v>
      </c>
      <c r="E2566" s="229">
        <v>66.100282</v>
      </c>
      <c r="F2566" s="229"/>
      <c r="G2566" s="229"/>
      <c r="H2566" s="229"/>
      <c r="I2566" s="229"/>
      <c r="J2566" s="229"/>
      <c r="K2566" s="229"/>
      <c r="L2566" s="229"/>
      <c r="M2566" s="229"/>
      <c r="N2566" s="232"/>
    </row>
    <row r="2567" hidden="1" spans="1:14">
      <c r="A2567" s="235"/>
      <c r="B2567" s="230" t="s">
        <v>1039</v>
      </c>
      <c r="C2567" s="229">
        <v>4.836728</v>
      </c>
      <c r="D2567" s="229">
        <v>4.836728</v>
      </c>
      <c r="E2567" s="229">
        <v>4.836728</v>
      </c>
      <c r="F2567" s="229"/>
      <c r="G2567" s="229"/>
      <c r="H2567" s="229"/>
      <c r="I2567" s="229"/>
      <c r="J2567" s="229"/>
      <c r="K2567" s="229"/>
      <c r="L2567" s="229"/>
      <c r="M2567" s="229"/>
      <c r="N2567" s="232"/>
    </row>
    <row r="2568" hidden="1" spans="1:14">
      <c r="A2568" s="235"/>
      <c r="B2568" s="230" t="s">
        <v>1036</v>
      </c>
      <c r="C2568" s="229">
        <v>29.020368</v>
      </c>
      <c r="D2568" s="229">
        <v>29.020368</v>
      </c>
      <c r="E2568" s="229">
        <v>29.020368</v>
      </c>
      <c r="F2568" s="229"/>
      <c r="G2568" s="229"/>
      <c r="H2568" s="229"/>
      <c r="I2568" s="229"/>
      <c r="J2568" s="229"/>
      <c r="K2568" s="229"/>
      <c r="L2568" s="229"/>
      <c r="M2568" s="229"/>
      <c r="N2568" s="232"/>
    </row>
    <row r="2569" hidden="1" spans="1:14">
      <c r="A2569" s="235"/>
      <c r="B2569" s="230" t="s">
        <v>1029</v>
      </c>
      <c r="C2569" s="229">
        <v>15.228</v>
      </c>
      <c r="D2569" s="229">
        <v>15.228</v>
      </c>
      <c r="E2569" s="229">
        <v>15.228</v>
      </c>
      <c r="F2569" s="229"/>
      <c r="G2569" s="229"/>
      <c r="H2569" s="229"/>
      <c r="I2569" s="229"/>
      <c r="J2569" s="229"/>
      <c r="K2569" s="229"/>
      <c r="L2569" s="229"/>
      <c r="M2569" s="229"/>
      <c r="N2569" s="232"/>
    </row>
    <row r="2570" hidden="1" spans="1:14">
      <c r="A2570" s="235"/>
      <c r="B2570" s="230" t="s">
        <v>1031</v>
      </c>
      <c r="C2570" s="229">
        <v>0.66</v>
      </c>
      <c r="D2570" s="229">
        <v>0.66</v>
      </c>
      <c r="E2570" s="229">
        <v>0.66</v>
      </c>
      <c r="F2570" s="229"/>
      <c r="G2570" s="229"/>
      <c r="H2570" s="229"/>
      <c r="I2570" s="229"/>
      <c r="J2570" s="229"/>
      <c r="K2570" s="229"/>
      <c r="L2570" s="229"/>
      <c r="M2570" s="229"/>
      <c r="N2570" s="232"/>
    </row>
    <row r="2571" hidden="1" spans="1:14">
      <c r="A2571" s="235"/>
      <c r="B2571" s="230" t="s">
        <v>1046</v>
      </c>
      <c r="C2571" s="229">
        <v>0.278004</v>
      </c>
      <c r="D2571" s="229">
        <v>0.278004</v>
      </c>
      <c r="E2571" s="229">
        <v>0.278004</v>
      </c>
      <c r="F2571" s="229"/>
      <c r="G2571" s="229"/>
      <c r="H2571" s="229"/>
      <c r="I2571" s="229"/>
      <c r="J2571" s="229"/>
      <c r="K2571" s="229"/>
      <c r="L2571" s="229"/>
      <c r="M2571" s="229"/>
      <c r="N2571" s="232"/>
    </row>
    <row r="2572" hidden="1" spans="1:14">
      <c r="A2572" s="235"/>
      <c r="B2572" s="230" t="s">
        <v>1032</v>
      </c>
      <c r="C2572" s="229">
        <v>241.8364</v>
      </c>
      <c r="D2572" s="229">
        <v>241.8364</v>
      </c>
      <c r="E2572" s="229">
        <v>241.8364</v>
      </c>
      <c r="F2572" s="229"/>
      <c r="G2572" s="229"/>
      <c r="H2572" s="229"/>
      <c r="I2572" s="229"/>
      <c r="J2572" s="229"/>
      <c r="K2572" s="229"/>
      <c r="L2572" s="229"/>
      <c r="M2572" s="229"/>
      <c r="N2572" s="232"/>
    </row>
    <row r="2573" hidden="1" spans="1:14">
      <c r="A2573" s="209">
        <v>818004</v>
      </c>
      <c r="B2573" s="231" t="s">
        <v>969</v>
      </c>
      <c r="C2573" s="229">
        <v>456.60183</v>
      </c>
      <c r="D2573" s="229">
        <v>456.60183</v>
      </c>
      <c r="E2573" s="229">
        <v>456.60183</v>
      </c>
      <c r="F2573" s="229"/>
      <c r="G2573" s="229"/>
      <c r="H2573" s="229"/>
      <c r="I2573" s="229"/>
      <c r="J2573" s="229"/>
      <c r="K2573" s="229"/>
      <c r="L2573" s="229"/>
      <c r="M2573" s="229"/>
      <c r="N2573" s="233"/>
    </row>
    <row r="2574" hidden="1" spans="1:14">
      <c r="A2574" s="235"/>
      <c r="B2574" s="230" t="s">
        <v>1033</v>
      </c>
      <c r="C2574" s="229">
        <v>84.19685</v>
      </c>
      <c r="D2574" s="229">
        <v>84.19685</v>
      </c>
      <c r="E2574" s="229">
        <v>84.19685</v>
      </c>
      <c r="F2574" s="229"/>
      <c r="G2574" s="229"/>
      <c r="H2574" s="229"/>
      <c r="I2574" s="229"/>
      <c r="J2574" s="229"/>
      <c r="K2574" s="229"/>
      <c r="L2574" s="229"/>
      <c r="M2574" s="229"/>
      <c r="N2574" s="232"/>
    </row>
    <row r="2575" hidden="1" spans="1:14">
      <c r="A2575" s="235"/>
      <c r="B2575" s="230" t="s">
        <v>1038</v>
      </c>
      <c r="C2575" s="229">
        <v>0.03</v>
      </c>
      <c r="D2575" s="229">
        <v>0.03</v>
      </c>
      <c r="E2575" s="229">
        <v>0.03</v>
      </c>
      <c r="F2575" s="229"/>
      <c r="G2575" s="229"/>
      <c r="H2575" s="229"/>
      <c r="I2575" s="229"/>
      <c r="J2575" s="229"/>
      <c r="K2575" s="229"/>
      <c r="L2575" s="229"/>
      <c r="M2575" s="229"/>
      <c r="N2575" s="232"/>
    </row>
    <row r="2576" hidden="1" spans="1:14">
      <c r="A2576" s="235"/>
      <c r="B2576" s="230" t="s">
        <v>1032</v>
      </c>
      <c r="C2576" s="229">
        <v>304.282</v>
      </c>
      <c r="D2576" s="229">
        <v>304.282</v>
      </c>
      <c r="E2576" s="229">
        <v>304.282</v>
      </c>
      <c r="F2576" s="229"/>
      <c r="G2576" s="229"/>
      <c r="H2576" s="229"/>
      <c r="I2576" s="229"/>
      <c r="J2576" s="229"/>
      <c r="K2576" s="229"/>
      <c r="L2576" s="229"/>
      <c r="M2576" s="229"/>
      <c r="N2576" s="232"/>
    </row>
    <row r="2577" hidden="1" spans="1:14">
      <c r="A2577" s="235"/>
      <c r="B2577" s="230" t="s">
        <v>1028</v>
      </c>
      <c r="C2577" s="229">
        <v>2.94</v>
      </c>
      <c r="D2577" s="229">
        <v>2.94</v>
      </c>
      <c r="E2577" s="229">
        <v>2.94</v>
      </c>
      <c r="F2577" s="229"/>
      <c r="G2577" s="229"/>
      <c r="H2577" s="229"/>
      <c r="I2577" s="229"/>
      <c r="J2577" s="229"/>
      <c r="K2577" s="229"/>
      <c r="L2577" s="229"/>
      <c r="M2577" s="229"/>
      <c r="N2577" s="232"/>
    </row>
    <row r="2578" hidden="1" spans="1:14">
      <c r="A2578" s="235"/>
      <c r="B2578" s="230" t="s">
        <v>1039</v>
      </c>
      <c r="C2578" s="229">
        <v>6.08564</v>
      </c>
      <c r="D2578" s="229">
        <v>6.08564</v>
      </c>
      <c r="E2578" s="229">
        <v>6.08564</v>
      </c>
      <c r="F2578" s="229"/>
      <c r="G2578" s="229"/>
      <c r="H2578" s="229"/>
      <c r="I2578" s="229"/>
      <c r="J2578" s="229"/>
      <c r="K2578" s="229"/>
      <c r="L2578" s="229"/>
      <c r="M2578" s="229"/>
      <c r="N2578" s="232"/>
    </row>
    <row r="2579" hidden="1" spans="1:14">
      <c r="A2579" s="235"/>
      <c r="B2579" s="230" t="s">
        <v>1031</v>
      </c>
      <c r="C2579" s="229">
        <v>1.32</v>
      </c>
      <c r="D2579" s="229">
        <v>1.32</v>
      </c>
      <c r="E2579" s="229">
        <v>1.32</v>
      </c>
      <c r="F2579" s="229"/>
      <c r="G2579" s="229"/>
      <c r="H2579" s="229"/>
      <c r="I2579" s="229"/>
      <c r="J2579" s="229"/>
      <c r="K2579" s="229"/>
      <c r="L2579" s="229"/>
      <c r="M2579" s="229"/>
      <c r="N2579" s="232"/>
    </row>
    <row r="2580" hidden="1" spans="1:14">
      <c r="A2580" s="235"/>
      <c r="B2580" s="230" t="s">
        <v>1035</v>
      </c>
      <c r="C2580" s="229">
        <v>0.1</v>
      </c>
      <c r="D2580" s="229">
        <v>0.1</v>
      </c>
      <c r="E2580" s="229">
        <v>0.1</v>
      </c>
      <c r="F2580" s="229"/>
      <c r="G2580" s="229"/>
      <c r="H2580" s="229"/>
      <c r="I2580" s="229"/>
      <c r="J2580" s="229"/>
      <c r="K2580" s="229"/>
      <c r="L2580" s="229"/>
      <c r="M2580" s="229"/>
      <c r="N2580" s="232"/>
    </row>
    <row r="2581" hidden="1" spans="1:14">
      <c r="A2581" s="235"/>
      <c r="B2581" s="230" t="s">
        <v>1029</v>
      </c>
      <c r="C2581" s="229">
        <v>21.06</v>
      </c>
      <c r="D2581" s="229">
        <v>21.06</v>
      </c>
      <c r="E2581" s="229">
        <v>21.06</v>
      </c>
      <c r="F2581" s="229"/>
      <c r="G2581" s="229"/>
      <c r="H2581" s="229"/>
      <c r="I2581" s="229"/>
      <c r="J2581" s="229"/>
      <c r="K2581" s="229"/>
      <c r="L2581" s="229"/>
      <c r="M2581" s="229"/>
      <c r="N2581" s="232"/>
    </row>
    <row r="2582" hidden="1" spans="1:14">
      <c r="A2582" s="235"/>
      <c r="B2582" s="230" t="s">
        <v>1036</v>
      </c>
      <c r="C2582" s="229">
        <v>36.51384</v>
      </c>
      <c r="D2582" s="229">
        <v>36.51384</v>
      </c>
      <c r="E2582" s="229">
        <v>36.51384</v>
      </c>
      <c r="F2582" s="229"/>
      <c r="G2582" s="229"/>
      <c r="H2582" s="229"/>
      <c r="I2582" s="229"/>
      <c r="J2582" s="229"/>
      <c r="K2582" s="229"/>
      <c r="L2582" s="229"/>
      <c r="M2582" s="229"/>
      <c r="N2582" s="232"/>
    </row>
    <row r="2583" hidden="1" spans="1:14">
      <c r="A2583" s="235"/>
      <c r="B2583" s="230" t="s">
        <v>1037</v>
      </c>
      <c r="C2583" s="229">
        <v>0.0735</v>
      </c>
      <c r="D2583" s="229">
        <v>0.0735</v>
      </c>
      <c r="E2583" s="229">
        <v>0.0735</v>
      </c>
      <c r="F2583" s="229"/>
      <c r="G2583" s="229"/>
      <c r="H2583" s="229"/>
      <c r="I2583" s="229"/>
      <c r="J2583" s="229"/>
      <c r="K2583" s="229"/>
      <c r="L2583" s="229"/>
      <c r="M2583" s="229"/>
      <c r="N2583" s="232"/>
    </row>
    <row r="2584" hidden="1" spans="1:14">
      <c r="A2584" s="209">
        <v>818005</v>
      </c>
      <c r="B2584" s="231" t="s">
        <v>971</v>
      </c>
      <c r="C2584" s="229">
        <v>47.926558</v>
      </c>
      <c r="D2584" s="229">
        <v>47.926558</v>
      </c>
      <c r="E2584" s="229">
        <v>47.926558</v>
      </c>
      <c r="F2584" s="229"/>
      <c r="G2584" s="229"/>
      <c r="H2584" s="229"/>
      <c r="I2584" s="229"/>
      <c r="J2584" s="229"/>
      <c r="K2584" s="229"/>
      <c r="L2584" s="229"/>
      <c r="M2584" s="229"/>
      <c r="N2584" s="233"/>
    </row>
    <row r="2585" hidden="1" spans="1:14">
      <c r="A2585" s="235"/>
      <c r="B2585" s="230" t="s">
        <v>1029</v>
      </c>
      <c r="C2585" s="229">
        <v>2.43</v>
      </c>
      <c r="D2585" s="229">
        <v>2.43</v>
      </c>
      <c r="E2585" s="229">
        <v>2.43</v>
      </c>
      <c r="F2585" s="229"/>
      <c r="G2585" s="229"/>
      <c r="H2585" s="229"/>
      <c r="I2585" s="229"/>
      <c r="J2585" s="229"/>
      <c r="K2585" s="229"/>
      <c r="L2585" s="229"/>
      <c r="M2585" s="229"/>
      <c r="N2585" s="232"/>
    </row>
    <row r="2586" hidden="1" spans="1:14">
      <c r="A2586" s="235"/>
      <c r="B2586" s="230" t="s">
        <v>1032</v>
      </c>
      <c r="C2586" s="229">
        <v>32.2794</v>
      </c>
      <c r="D2586" s="229">
        <v>32.2794</v>
      </c>
      <c r="E2586" s="229">
        <v>32.2794</v>
      </c>
      <c r="F2586" s="229"/>
      <c r="G2586" s="229"/>
      <c r="H2586" s="229"/>
      <c r="I2586" s="229"/>
      <c r="J2586" s="229"/>
      <c r="K2586" s="229"/>
      <c r="L2586" s="229"/>
      <c r="M2586" s="229"/>
      <c r="N2586" s="232"/>
    </row>
    <row r="2587" hidden="1" spans="1:14">
      <c r="A2587" s="235"/>
      <c r="B2587" s="230" t="s">
        <v>1036</v>
      </c>
      <c r="C2587" s="229">
        <v>3.873528</v>
      </c>
      <c r="D2587" s="229">
        <v>3.873528</v>
      </c>
      <c r="E2587" s="229">
        <v>3.873528</v>
      </c>
      <c r="F2587" s="229"/>
      <c r="G2587" s="229"/>
      <c r="H2587" s="229"/>
      <c r="I2587" s="229"/>
      <c r="J2587" s="229"/>
      <c r="K2587" s="229"/>
      <c r="L2587" s="229"/>
      <c r="M2587" s="229"/>
      <c r="N2587" s="232"/>
    </row>
    <row r="2588" hidden="1" spans="1:14">
      <c r="A2588" s="235"/>
      <c r="B2588" s="230" t="s">
        <v>1039</v>
      </c>
      <c r="C2588" s="229">
        <v>0.645588</v>
      </c>
      <c r="D2588" s="229">
        <v>0.645588</v>
      </c>
      <c r="E2588" s="229">
        <v>0.645588</v>
      </c>
      <c r="F2588" s="229"/>
      <c r="G2588" s="229"/>
      <c r="H2588" s="229"/>
      <c r="I2588" s="229"/>
      <c r="J2588" s="229"/>
      <c r="K2588" s="229"/>
      <c r="L2588" s="229"/>
      <c r="M2588" s="229"/>
      <c r="N2588" s="232"/>
    </row>
    <row r="2589" hidden="1" spans="1:14">
      <c r="A2589" s="235"/>
      <c r="B2589" s="230" t="s">
        <v>1033</v>
      </c>
      <c r="C2589" s="229">
        <v>8.698042</v>
      </c>
      <c r="D2589" s="229">
        <v>8.698042</v>
      </c>
      <c r="E2589" s="229">
        <v>8.698042</v>
      </c>
      <c r="F2589" s="229"/>
      <c r="G2589" s="229"/>
      <c r="H2589" s="229"/>
      <c r="I2589" s="229"/>
      <c r="J2589" s="229"/>
      <c r="K2589" s="229"/>
      <c r="L2589" s="229"/>
      <c r="M2589" s="229"/>
      <c r="N2589" s="232"/>
    </row>
    <row r="2590" hidden="1" spans="1:14">
      <c r="A2590" s="209">
        <v>819002</v>
      </c>
      <c r="B2590" s="231" t="s">
        <v>1161</v>
      </c>
      <c r="C2590" s="229">
        <v>266.628893</v>
      </c>
      <c r="D2590" s="229">
        <v>266.628893</v>
      </c>
      <c r="E2590" s="229">
        <v>266.628893</v>
      </c>
      <c r="F2590" s="229"/>
      <c r="G2590" s="229"/>
      <c r="H2590" s="229"/>
      <c r="I2590" s="229"/>
      <c r="J2590" s="229"/>
      <c r="K2590" s="229"/>
      <c r="L2590" s="229"/>
      <c r="M2590" s="229"/>
      <c r="N2590" s="233"/>
    </row>
    <row r="2591" hidden="1" spans="1:14">
      <c r="A2591" s="235"/>
      <c r="B2591" s="230" t="s">
        <v>1029</v>
      </c>
      <c r="C2591" s="229">
        <v>11.34</v>
      </c>
      <c r="D2591" s="229">
        <v>11.34</v>
      </c>
      <c r="E2591" s="229">
        <v>11.34</v>
      </c>
      <c r="F2591" s="229"/>
      <c r="G2591" s="229"/>
      <c r="H2591" s="229"/>
      <c r="I2591" s="229"/>
      <c r="J2591" s="229"/>
      <c r="K2591" s="229"/>
      <c r="L2591" s="229"/>
      <c r="M2591" s="229"/>
      <c r="N2591" s="232"/>
    </row>
    <row r="2592" hidden="1" spans="1:14">
      <c r="A2592" s="235"/>
      <c r="B2592" s="230" t="s">
        <v>1031</v>
      </c>
      <c r="C2592" s="229">
        <v>0.66</v>
      </c>
      <c r="D2592" s="229">
        <v>0.66</v>
      </c>
      <c r="E2592" s="229">
        <v>0.66</v>
      </c>
      <c r="F2592" s="229"/>
      <c r="G2592" s="229"/>
      <c r="H2592" s="229"/>
      <c r="I2592" s="229"/>
      <c r="J2592" s="229"/>
      <c r="K2592" s="229"/>
      <c r="L2592" s="229"/>
      <c r="M2592" s="229"/>
      <c r="N2592" s="232"/>
    </row>
    <row r="2593" hidden="1" spans="1:14">
      <c r="A2593" s="235"/>
      <c r="B2593" s="230" t="s">
        <v>1033</v>
      </c>
      <c r="C2593" s="229">
        <v>48.532737</v>
      </c>
      <c r="D2593" s="229">
        <v>48.532737</v>
      </c>
      <c r="E2593" s="229">
        <v>48.532737</v>
      </c>
      <c r="F2593" s="229"/>
      <c r="G2593" s="229"/>
      <c r="H2593" s="229"/>
      <c r="I2593" s="229"/>
      <c r="J2593" s="229"/>
      <c r="K2593" s="229"/>
      <c r="L2593" s="229"/>
      <c r="M2593" s="229"/>
      <c r="N2593" s="232"/>
    </row>
    <row r="2594" hidden="1" spans="1:14">
      <c r="A2594" s="235"/>
      <c r="B2594" s="230" t="s">
        <v>1028</v>
      </c>
      <c r="C2594" s="229">
        <v>14.7</v>
      </c>
      <c r="D2594" s="229">
        <v>14.7</v>
      </c>
      <c r="E2594" s="229">
        <v>14.7</v>
      </c>
      <c r="F2594" s="229"/>
      <c r="G2594" s="229"/>
      <c r="H2594" s="229"/>
      <c r="I2594" s="229"/>
      <c r="J2594" s="229"/>
      <c r="K2594" s="229"/>
      <c r="L2594" s="229"/>
      <c r="M2594" s="229"/>
      <c r="N2594" s="232"/>
    </row>
    <row r="2595" hidden="1" spans="1:14">
      <c r="A2595" s="235"/>
      <c r="B2595" s="230" t="s">
        <v>1039</v>
      </c>
      <c r="C2595" s="229">
        <v>3.342608</v>
      </c>
      <c r="D2595" s="229">
        <v>3.342608</v>
      </c>
      <c r="E2595" s="229">
        <v>3.342608</v>
      </c>
      <c r="F2595" s="229"/>
      <c r="G2595" s="229"/>
      <c r="H2595" s="229"/>
      <c r="I2595" s="229"/>
      <c r="J2595" s="229"/>
      <c r="K2595" s="229"/>
      <c r="L2595" s="229"/>
      <c r="M2595" s="229"/>
      <c r="N2595" s="232"/>
    </row>
    <row r="2596" hidden="1" spans="1:14">
      <c r="A2596" s="235"/>
      <c r="B2596" s="230" t="s">
        <v>1037</v>
      </c>
      <c r="C2596" s="229">
        <v>0.3675</v>
      </c>
      <c r="D2596" s="229">
        <v>0.3675</v>
      </c>
      <c r="E2596" s="229">
        <v>0.3675</v>
      </c>
      <c r="F2596" s="229"/>
      <c r="G2596" s="229"/>
      <c r="H2596" s="229"/>
      <c r="I2596" s="229"/>
      <c r="J2596" s="229"/>
      <c r="K2596" s="229"/>
      <c r="L2596" s="229"/>
      <c r="M2596" s="229"/>
      <c r="N2596" s="232"/>
    </row>
    <row r="2597" hidden="1" spans="1:14">
      <c r="A2597" s="235"/>
      <c r="B2597" s="230" t="s">
        <v>1036</v>
      </c>
      <c r="C2597" s="229">
        <v>20.055648</v>
      </c>
      <c r="D2597" s="229">
        <v>20.055648</v>
      </c>
      <c r="E2597" s="229">
        <v>20.055648</v>
      </c>
      <c r="F2597" s="229"/>
      <c r="G2597" s="229"/>
      <c r="H2597" s="229"/>
      <c r="I2597" s="229"/>
      <c r="J2597" s="229"/>
      <c r="K2597" s="229"/>
      <c r="L2597" s="229"/>
      <c r="M2597" s="229"/>
      <c r="N2597" s="232"/>
    </row>
    <row r="2598" hidden="1" spans="1:14">
      <c r="A2598" s="235"/>
      <c r="B2598" s="230" t="s">
        <v>1035</v>
      </c>
      <c r="C2598" s="229">
        <v>0.5</v>
      </c>
      <c r="D2598" s="229">
        <v>0.5</v>
      </c>
      <c r="E2598" s="229">
        <v>0.5</v>
      </c>
      <c r="F2598" s="229"/>
      <c r="G2598" s="229"/>
      <c r="H2598" s="229"/>
      <c r="I2598" s="229"/>
      <c r="J2598" s="229"/>
      <c r="K2598" s="229"/>
      <c r="L2598" s="229"/>
      <c r="M2598" s="229"/>
      <c r="N2598" s="232"/>
    </row>
    <row r="2599" hidden="1" spans="1:14">
      <c r="A2599" s="235"/>
      <c r="B2599" s="230" t="s">
        <v>1032</v>
      </c>
      <c r="C2599" s="229">
        <v>167.1304</v>
      </c>
      <c r="D2599" s="229">
        <v>167.1304</v>
      </c>
      <c r="E2599" s="229">
        <v>167.1304</v>
      </c>
      <c r="F2599" s="229"/>
      <c r="G2599" s="229"/>
      <c r="H2599" s="229"/>
      <c r="I2599" s="229"/>
      <c r="J2599" s="229"/>
      <c r="K2599" s="229"/>
      <c r="L2599" s="229"/>
      <c r="M2599" s="229"/>
      <c r="N2599" s="232"/>
    </row>
    <row r="2600" hidden="1" spans="1:14">
      <c r="A2600" s="209">
        <v>819011</v>
      </c>
      <c r="B2600" s="231" t="s">
        <v>976</v>
      </c>
      <c r="C2600" s="229">
        <v>349.769269</v>
      </c>
      <c r="D2600" s="229">
        <v>349.769269</v>
      </c>
      <c r="E2600" s="229">
        <v>349.769269</v>
      </c>
      <c r="F2600" s="229"/>
      <c r="G2600" s="229"/>
      <c r="H2600" s="229"/>
      <c r="I2600" s="229"/>
      <c r="J2600" s="229"/>
      <c r="K2600" s="229"/>
      <c r="L2600" s="229"/>
      <c r="M2600" s="229"/>
      <c r="N2600" s="233"/>
    </row>
    <row r="2601" hidden="1" spans="1:14">
      <c r="A2601" s="235"/>
      <c r="B2601" s="230" t="s">
        <v>1038</v>
      </c>
      <c r="C2601" s="229">
        <v>0.39</v>
      </c>
      <c r="D2601" s="229">
        <v>0.39</v>
      </c>
      <c r="E2601" s="229">
        <v>0.39</v>
      </c>
      <c r="F2601" s="229"/>
      <c r="G2601" s="229"/>
      <c r="H2601" s="229"/>
      <c r="I2601" s="229"/>
      <c r="J2601" s="229"/>
      <c r="K2601" s="229"/>
      <c r="L2601" s="229"/>
      <c r="M2601" s="229"/>
      <c r="N2601" s="232"/>
    </row>
    <row r="2602" hidden="1" spans="1:14">
      <c r="A2602" s="235"/>
      <c r="B2602" s="230" t="s">
        <v>1039</v>
      </c>
      <c r="C2602" s="229">
        <v>3.715638</v>
      </c>
      <c r="D2602" s="229">
        <v>3.715638</v>
      </c>
      <c r="E2602" s="229">
        <v>3.715638</v>
      </c>
      <c r="F2602" s="229"/>
      <c r="G2602" s="229"/>
      <c r="H2602" s="229"/>
      <c r="I2602" s="229"/>
      <c r="J2602" s="229"/>
      <c r="K2602" s="229"/>
      <c r="L2602" s="229"/>
      <c r="M2602" s="229"/>
      <c r="N2602" s="232"/>
    </row>
    <row r="2603" hidden="1" spans="1:14">
      <c r="A2603" s="235"/>
      <c r="B2603" s="230" t="s">
        <v>1036</v>
      </c>
      <c r="C2603" s="229">
        <v>22.293828</v>
      </c>
      <c r="D2603" s="229">
        <v>22.293828</v>
      </c>
      <c r="E2603" s="229">
        <v>22.293828</v>
      </c>
      <c r="F2603" s="229"/>
      <c r="G2603" s="229"/>
      <c r="H2603" s="229"/>
      <c r="I2603" s="229"/>
      <c r="J2603" s="229"/>
      <c r="K2603" s="229"/>
      <c r="L2603" s="229"/>
      <c r="M2603" s="229"/>
      <c r="N2603" s="232"/>
    </row>
    <row r="2604" hidden="1" spans="1:14">
      <c r="A2604" s="235"/>
      <c r="B2604" s="230" t="s">
        <v>1028</v>
      </c>
      <c r="C2604" s="229">
        <v>38.7408</v>
      </c>
      <c r="D2604" s="229">
        <v>38.7408</v>
      </c>
      <c r="E2604" s="229">
        <v>38.7408</v>
      </c>
      <c r="F2604" s="229"/>
      <c r="G2604" s="229"/>
      <c r="H2604" s="229"/>
      <c r="I2604" s="229"/>
      <c r="J2604" s="229"/>
      <c r="K2604" s="229"/>
      <c r="L2604" s="229"/>
      <c r="M2604" s="229"/>
      <c r="N2604" s="232"/>
    </row>
    <row r="2605" hidden="1" spans="1:14">
      <c r="A2605" s="235"/>
      <c r="B2605" s="230" t="s">
        <v>1032</v>
      </c>
      <c r="C2605" s="229">
        <v>185.7819</v>
      </c>
      <c r="D2605" s="229">
        <v>185.7819</v>
      </c>
      <c r="E2605" s="229">
        <v>185.7819</v>
      </c>
      <c r="F2605" s="229"/>
      <c r="G2605" s="229"/>
      <c r="H2605" s="229"/>
      <c r="I2605" s="229"/>
      <c r="J2605" s="229"/>
      <c r="K2605" s="229"/>
      <c r="L2605" s="229"/>
      <c r="M2605" s="229"/>
      <c r="N2605" s="232"/>
    </row>
    <row r="2606" hidden="1" spans="1:14">
      <c r="A2606" s="235"/>
      <c r="B2606" s="230" t="s">
        <v>1031</v>
      </c>
      <c r="C2606" s="229">
        <v>9.78</v>
      </c>
      <c r="D2606" s="229">
        <v>9.78</v>
      </c>
      <c r="E2606" s="229">
        <v>9.78</v>
      </c>
      <c r="F2606" s="229"/>
      <c r="G2606" s="229"/>
      <c r="H2606" s="229"/>
      <c r="I2606" s="229"/>
      <c r="J2606" s="229"/>
      <c r="K2606" s="229"/>
      <c r="L2606" s="229"/>
      <c r="M2606" s="229"/>
      <c r="N2606" s="232"/>
    </row>
    <row r="2607" hidden="1" spans="1:14">
      <c r="A2607" s="235"/>
      <c r="B2607" s="230" t="s">
        <v>1037</v>
      </c>
      <c r="C2607" s="229">
        <v>0.96852</v>
      </c>
      <c r="D2607" s="229">
        <v>0.96852</v>
      </c>
      <c r="E2607" s="229">
        <v>0.96852</v>
      </c>
      <c r="F2607" s="229"/>
      <c r="G2607" s="229"/>
      <c r="H2607" s="229"/>
      <c r="I2607" s="229"/>
      <c r="J2607" s="229"/>
      <c r="K2607" s="229"/>
      <c r="L2607" s="229"/>
      <c r="M2607" s="229"/>
      <c r="N2607" s="232"/>
    </row>
    <row r="2608" hidden="1" spans="1:14">
      <c r="A2608" s="235"/>
      <c r="B2608" s="230" t="s">
        <v>1033</v>
      </c>
      <c r="C2608" s="229">
        <v>58.498583</v>
      </c>
      <c r="D2608" s="229">
        <v>58.498583</v>
      </c>
      <c r="E2608" s="229">
        <v>58.498583</v>
      </c>
      <c r="F2608" s="229"/>
      <c r="G2608" s="229"/>
      <c r="H2608" s="229"/>
      <c r="I2608" s="229"/>
      <c r="J2608" s="229"/>
      <c r="K2608" s="229"/>
      <c r="L2608" s="229"/>
      <c r="M2608" s="229"/>
      <c r="N2608" s="232"/>
    </row>
    <row r="2609" hidden="1" spans="1:14">
      <c r="A2609" s="235"/>
      <c r="B2609" s="230" t="s">
        <v>1029</v>
      </c>
      <c r="C2609" s="229">
        <v>24.3</v>
      </c>
      <c r="D2609" s="229">
        <v>24.3</v>
      </c>
      <c r="E2609" s="229">
        <v>24.3</v>
      </c>
      <c r="F2609" s="229"/>
      <c r="G2609" s="229"/>
      <c r="H2609" s="229"/>
      <c r="I2609" s="229"/>
      <c r="J2609" s="229"/>
      <c r="K2609" s="229"/>
      <c r="L2609" s="229"/>
      <c r="M2609" s="229"/>
      <c r="N2609" s="232"/>
    </row>
    <row r="2610" hidden="1" spans="1:14">
      <c r="A2610" s="235"/>
      <c r="B2610" s="230" t="s">
        <v>1035</v>
      </c>
      <c r="C2610" s="229">
        <v>1.3</v>
      </c>
      <c r="D2610" s="229">
        <v>1.3</v>
      </c>
      <c r="E2610" s="229">
        <v>1.3</v>
      </c>
      <c r="F2610" s="229"/>
      <c r="G2610" s="229"/>
      <c r="H2610" s="229"/>
      <c r="I2610" s="229"/>
      <c r="J2610" s="229"/>
      <c r="K2610" s="229"/>
      <c r="L2610" s="229"/>
      <c r="M2610" s="229"/>
      <c r="N2610" s="232"/>
    </row>
    <row r="2611" hidden="1" spans="1:14">
      <c r="A2611" s="235"/>
      <c r="B2611" s="230" t="s">
        <v>1030</v>
      </c>
      <c r="C2611" s="229">
        <v>4</v>
      </c>
      <c r="D2611" s="229">
        <v>4</v>
      </c>
      <c r="E2611" s="229">
        <v>4</v>
      </c>
      <c r="F2611" s="229"/>
      <c r="G2611" s="229"/>
      <c r="H2611" s="229"/>
      <c r="I2611" s="229"/>
      <c r="J2611" s="229"/>
      <c r="K2611" s="229"/>
      <c r="L2611" s="229"/>
      <c r="M2611" s="229"/>
      <c r="N2611" s="232"/>
    </row>
    <row r="2612" hidden="1" spans="1:14">
      <c r="A2612" s="209">
        <v>819012</v>
      </c>
      <c r="B2612" s="231" t="s">
        <v>978</v>
      </c>
      <c r="C2612" s="229">
        <v>182.280055</v>
      </c>
      <c r="D2612" s="229">
        <v>182.280055</v>
      </c>
      <c r="E2612" s="229">
        <v>182.280055</v>
      </c>
      <c r="F2612" s="229"/>
      <c r="G2612" s="229"/>
      <c r="H2612" s="229"/>
      <c r="I2612" s="229"/>
      <c r="J2612" s="229"/>
      <c r="K2612" s="229"/>
      <c r="L2612" s="229"/>
      <c r="M2612" s="229"/>
      <c r="N2612" s="233"/>
    </row>
    <row r="2613" hidden="1" spans="1:14">
      <c r="A2613" s="235"/>
      <c r="B2613" s="230" t="s">
        <v>1039</v>
      </c>
      <c r="C2613" s="229">
        <v>2.455076</v>
      </c>
      <c r="D2613" s="229">
        <v>2.455076</v>
      </c>
      <c r="E2613" s="229">
        <v>2.455076</v>
      </c>
      <c r="F2613" s="229"/>
      <c r="G2613" s="229"/>
      <c r="H2613" s="229"/>
      <c r="I2613" s="229"/>
      <c r="J2613" s="229"/>
      <c r="K2613" s="229"/>
      <c r="L2613" s="229"/>
      <c r="M2613" s="229"/>
      <c r="N2613" s="232"/>
    </row>
    <row r="2614" hidden="1" spans="1:14">
      <c r="A2614" s="235"/>
      <c r="B2614" s="230" t="s">
        <v>1036</v>
      </c>
      <c r="C2614" s="229">
        <v>14.730456</v>
      </c>
      <c r="D2614" s="229">
        <v>14.730456</v>
      </c>
      <c r="E2614" s="229">
        <v>14.730456</v>
      </c>
      <c r="F2614" s="229"/>
      <c r="G2614" s="229"/>
      <c r="H2614" s="229"/>
      <c r="I2614" s="229"/>
      <c r="J2614" s="229"/>
      <c r="K2614" s="229"/>
      <c r="L2614" s="229"/>
      <c r="M2614" s="229"/>
      <c r="N2614" s="232"/>
    </row>
    <row r="2615" hidden="1" spans="1:14">
      <c r="A2615" s="235"/>
      <c r="B2615" s="230" t="s">
        <v>1033</v>
      </c>
      <c r="C2615" s="229">
        <v>33.256723</v>
      </c>
      <c r="D2615" s="229">
        <v>33.256723</v>
      </c>
      <c r="E2615" s="229">
        <v>33.256723</v>
      </c>
      <c r="F2615" s="229"/>
      <c r="G2615" s="229"/>
      <c r="H2615" s="229"/>
      <c r="I2615" s="229"/>
      <c r="J2615" s="229"/>
      <c r="K2615" s="229"/>
      <c r="L2615" s="229"/>
      <c r="M2615" s="229"/>
      <c r="N2615" s="232"/>
    </row>
    <row r="2616" hidden="1" spans="1:14">
      <c r="A2616" s="235"/>
      <c r="B2616" s="230" t="s">
        <v>1032</v>
      </c>
      <c r="C2616" s="229">
        <v>122.7538</v>
      </c>
      <c r="D2616" s="229">
        <v>122.7538</v>
      </c>
      <c r="E2616" s="229">
        <v>122.7538</v>
      </c>
      <c r="F2616" s="229"/>
      <c r="G2616" s="229"/>
      <c r="H2616" s="229"/>
      <c r="I2616" s="229"/>
      <c r="J2616" s="229"/>
      <c r="K2616" s="229"/>
      <c r="L2616" s="229"/>
      <c r="M2616" s="229"/>
      <c r="N2616" s="232"/>
    </row>
    <row r="2617" hidden="1" spans="1:14">
      <c r="A2617" s="235"/>
      <c r="B2617" s="230" t="s">
        <v>1031</v>
      </c>
      <c r="C2617" s="229">
        <v>0.66</v>
      </c>
      <c r="D2617" s="229">
        <v>0.66</v>
      </c>
      <c r="E2617" s="229">
        <v>0.66</v>
      </c>
      <c r="F2617" s="229"/>
      <c r="G2617" s="229"/>
      <c r="H2617" s="229"/>
      <c r="I2617" s="229"/>
      <c r="J2617" s="229"/>
      <c r="K2617" s="229"/>
      <c r="L2617" s="229"/>
      <c r="M2617" s="229"/>
      <c r="N2617" s="232"/>
    </row>
    <row r="2618" hidden="1" spans="1:14">
      <c r="A2618" s="235"/>
      <c r="B2618" s="230" t="s">
        <v>1029</v>
      </c>
      <c r="C2618" s="229">
        <v>8.424</v>
      </c>
      <c r="D2618" s="229">
        <v>8.424</v>
      </c>
      <c r="E2618" s="229">
        <v>8.424</v>
      </c>
      <c r="F2618" s="229"/>
      <c r="G2618" s="229"/>
      <c r="H2618" s="229"/>
      <c r="I2618" s="229"/>
      <c r="J2618" s="229"/>
      <c r="K2618" s="229"/>
      <c r="L2618" s="229"/>
      <c r="M2618" s="229"/>
      <c r="N2618" s="232"/>
    </row>
    <row r="2619" hidden="1" spans="1:14">
      <c r="A2619" s="209">
        <v>819013</v>
      </c>
      <c r="B2619" s="231" t="s">
        <v>980</v>
      </c>
      <c r="C2619" s="229">
        <v>373.883479</v>
      </c>
      <c r="D2619" s="229">
        <v>373.883479</v>
      </c>
      <c r="E2619" s="229">
        <v>373.883479</v>
      </c>
      <c r="F2619" s="229"/>
      <c r="G2619" s="229"/>
      <c r="H2619" s="229"/>
      <c r="I2619" s="229"/>
      <c r="J2619" s="229"/>
      <c r="K2619" s="229"/>
      <c r="L2619" s="229"/>
      <c r="M2619" s="229"/>
      <c r="N2619" s="233"/>
    </row>
    <row r="2620" hidden="1" spans="1:14">
      <c r="A2620" s="235"/>
      <c r="B2620" s="230" t="s">
        <v>1033</v>
      </c>
      <c r="C2620" s="229">
        <v>68.490787</v>
      </c>
      <c r="D2620" s="229">
        <v>68.490787</v>
      </c>
      <c r="E2620" s="229">
        <v>68.490787</v>
      </c>
      <c r="F2620" s="229"/>
      <c r="G2620" s="229"/>
      <c r="H2620" s="229"/>
      <c r="I2620" s="229"/>
      <c r="J2620" s="229"/>
      <c r="K2620" s="229"/>
      <c r="L2620" s="229"/>
      <c r="M2620" s="229"/>
      <c r="N2620" s="232"/>
    </row>
    <row r="2621" hidden="1" spans="1:14">
      <c r="A2621" s="235"/>
      <c r="B2621" s="230" t="s">
        <v>1032</v>
      </c>
      <c r="C2621" s="229">
        <v>251.6778</v>
      </c>
      <c r="D2621" s="229">
        <v>251.6778</v>
      </c>
      <c r="E2621" s="229">
        <v>251.6778</v>
      </c>
      <c r="F2621" s="229"/>
      <c r="G2621" s="229"/>
      <c r="H2621" s="229"/>
      <c r="I2621" s="229"/>
      <c r="J2621" s="229"/>
      <c r="K2621" s="229"/>
      <c r="L2621" s="229"/>
      <c r="M2621" s="229"/>
      <c r="N2621" s="232"/>
    </row>
    <row r="2622" hidden="1" spans="1:14">
      <c r="A2622" s="235"/>
      <c r="B2622" s="230" t="s">
        <v>1031</v>
      </c>
      <c r="C2622" s="229">
        <v>0.66</v>
      </c>
      <c r="D2622" s="229">
        <v>0.66</v>
      </c>
      <c r="E2622" s="229">
        <v>0.66</v>
      </c>
      <c r="F2622" s="229"/>
      <c r="G2622" s="229"/>
      <c r="H2622" s="229"/>
      <c r="I2622" s="229"/>
      <c r="J2622" s="229"/>
      <c r="K2622" s="229"/>
      <c r="L2622" s="229"/>
      <c r="M2622" s="229"/>
      <c r="N2622" s="232"/>
    </row>
    <row r="2623" hidden="1" spans="1:14">
      <c r="A2623" s="235"/>
      <c r="B2623" s="230" t="s">
        <v>1036</v>
      </c>
      <c r="C2623" s="229">
        <v>30.201336</v>
      </c>
      <c r="D2623" s="229">
        <v>30.201336</v>
      </c>
      <c r="E2623" s="229">
        <v>30.201336</v>
      </c>
      <c r="F2623" s="229"/>
      <c r="G2623" s="229"/>
      <c r="H2623" s="229"/>
      <c r="I2623" s="229"/>
      <c r="J2623" s="229"/>
      <c r="K2623" s="229"/>
      <c r="L2623" s="229"/>
      <c r="M2623" s="229"/>
      <c r="N2623" s="232"/>
    </row>
    <row r="2624" hidden="1" spans="1:14">
      <c r="A2624" s="235"/>
      <c r="B2624" s="230" t="s">
        <v>1029</v>
      </c>
      <c r="C2624" s="229">
        <v>17.82</v>
      </c>
      <c r="D2624" s="229">
        <v>17.82</v>
      </c>
      <c r="E2624" s="229">
        <v>17.82</v>
      </c>
      <c r="F2624" s="229"/>
      <c r="G2624" s="229"/>
      <c r="H2624" s="229"/>
      <c r="I2624" s="229"/>
      <c r="J2624" s="229"/>
      <c r="K2624" s="229"/>
      <c r="L2624" s="229"/>
      <c r="M2624" s="229"/>
      <c r="N2624" s="232"/>
    </row>
    <row r="2625" hidden="1" spans="1:14">
      <c r="A2625" s="235"/>
      <c r="B2625" s="230" t="s">
        <v>1039</v>
      </c>
      <c r="C2625" s="229">
        <v>5.033556</v>
      </c>
      <c r="D2625" s="229">
        <v>5.033556</v>
      </c>
      <c r="E2625" s="229">
        <v>5.033556</v>
      </c>
      <c r="F2625" s="229"/>
      <c r="G2625" s="229"/>
      <c r="H2625" s="229"/>
      <c r="I2625" s="229"/>
      <c r="J2625" s="229"/>
      <c r="K2625" s="229"/>
      <c r="L2625" s="229"/>
      <c r="M2625" s="229"/>
      <c r="N2625" s="232"/>
    </row>
    <row r="2626" hidden="1" spans="1:14">
      <c r="A2626" s="209">
        <v>819014</v>
      </c>
      <c r="B2626" s="231" t="s">
        <v>982</v>
      </c>
      <c r="C2626" s="229">
        <v>62.217708</v>
      </c>
      <c r="D2626" s="229">
        <v>62.217708</v>
      </c>
      <c r="E2626" s="229">
        <v>62.217708</v>
      </c>
      <c r="F2626" s="229"/>
      <c r="G2626" s="229"/>
      <c r="H2626" s="229"/>
      <c r="I2626" s="229"/>
      <c r="J2626" s="229"/>
      <c r="K2626" s="229"/>
      <c r="L2626" s="229"/>
      <c r="M2626" s="229"/>
      <c r="N2626" s="233"/>
    </row>
    <row r="2627" hidden="1" spans="1:14">
      <c r="A2627" s="235"/>
      <c r="B2627" s="230" t="s">
        <v>1036</v>
      </c>
      <c r="C2627" s="229">
        <v>4.9482</v>
      </c>
      <c r="D2627" s="229">
        <v>4.9482</v>
      </c>
      <c r="E2627" s="229">
        <v>4.9482</v>
      </c>
      <c r="F2627" s="229"/>
      <c r="G2627" s="229"/>
      <c r="H2627" s="229"/>
      <c r="I2627" s="229"/>
      <c r="J2627" s="229"/>
      <c r="K2627" s="229"/>
      <c r="L2627" s="229"/>
      <c r="M2627" s="229"/>
      <c r="N2627" s="232"/>
    </row>
    <row r="2628" hidden="1" spans="1:14">
      <c r="A2628" s="235"/>
      <c r="B2628" s="230" t="s">
        <v>1039</v>
      </c>
      <c r="C2628" s="229">
        <v>0.8247</v>
      </c>
      <c r="D2628" s="229">
        <v>0.8247</v>
      </c>
      <c r="E2628" s="229">
        <v>0.8247</v>
      </c>
      <c r="F2628" s="229"/>
      <c r="G2628" s="229"/>
      <c r="H2628" s="229"/>
      <c r="I2628" s="229"/>
      <c r="J2628" s="229"/>
      <c r="K2628" s="229"/>
      <c r="L2628" s="229"/>
      <c r="M2628" s="229"/>
      <c r="N2628" s="232"/>
    </row>
    <row r="2629" hidden="1" spans="1:14">
      <c r="A2629" s="235"/>
      <c r="B2629" s="230" t="s">
        <v>1031</v>
      </c>
      <c r="C2629" s="229">
        <v>0.66</v>
      </c>
      <c r="D2629" s="229">
        <v>0.66</v>
      </c>
      <c r="E2629" s="229">
        <v>0.66</v>
      </c>
      <c r="F2629" s="229"/>
      <c r="G2629" s="229"/>
      <c r="H2629" s="229"/>
      <c r="I2629" s="229"/>
      <c r="J2629" s="229"/>
      <c r="K2629" s="229"/>
      <c r="L2629" s="229"/>
      <c r="M2629" s="229"/>
      <c r="N2629" s="232"/>
    </row>
    <row r="2630" hidden="1" spans="1:14">
      <c r="A2630" s="235"/>
      <c r="B2630" s="230" t="s">
        <v>1029</v>
      </c>
      <c r="C2630" s="229">
        <v>3.24</v>
      </c>
      <c r="D2630" s="229">
        <v>3.24</v>
      </c>
      <c r="E2630" s="229">
        <v>3.24</v>
      </c>
      <c r="F2630" s="229"/>
      <c r="G2630" s="229"/>
      <c r="H2630" s="229"/>
      <c r="I2630" s="229"/>
      <c r="J2630" s="229"/>
      <c r="K2630" s="229"/>
      <c r="L2630" s="229"/>
      <c r="M2630" s="229"/>
      <c r="N2630" s="232"/>
    </row>
    <row r="2631" hidden="1" spans="1:14">
      <c r="A2631" s="235"/>
      <c r="B2631" s="230" t="s">
        <v>1032</v>
      </c>
      <c r="C2631" s="229">
        <v>41.235</v>
      </c>
      <c r="D2631" s="229">
        <v>41.235</v>
      </c>
      <c r="E2631" s="229">
        <v>41.235</v>
      </c>
      <c r="F2631" s="229"/>
      <c r="G2631" s="229"/>
      <c r="H2631" s="229"/>
      <c r="I2631" s="229"/>
      <c r="J2631" s="229"/>
      <c r="K2631" s="229"/>
      <c r="L2631" s="229"/>
      <c r="M2631" s="229"/>
      <c r="N2631" s="232"/>
    </row>
    <row r="2632" hidden="1" spans="1:14">
      <c r="A2632" s="235"/>
      <c r="B2632" s="230" t="s">
        <v>1033</v>
      </c>
      <c r="C2632" s="229">
        <v>11.309808</v>
      </c>
      <c r="D2632" s="229">
        <v>11.309808</v>
      </c>
      <c r="E2632" s="229">
        <v>11.309808</v>
      </c>
      <c r="F2632" s="229"/>
      <c r="G2632" s="229"/>
      <c r="H2632" s="229"/>
      <c r="I2632" s="229"/>
      <c r="J2632" s="229"/>
      <c r="K2632" s="229"/>
      <c r="L2632" s="229"/>
      <c r="M2632" s="229"/>
      <c r="N2632" s="232"/>
    </row>
    <row r="2633" hidden="1" spans="1:14">
      <c r="A2633" s="209">
        <v>820001</v>
      </c>
      <c r="B2633" s="231" t="s">
        <v>985</v>
      </c>
      <c r="C2633" s="229">
        <v>466.257284</v>
      </c>
      <c r="D2633" s="229">
        <v>466.257284</v>
      </c>
      <c r="E2633" s="229">
        <v>466.257284</v>
      </c>
      <c r="F2633" s="229"/>
      <c r="G2633" s="229"/>
      <c r="H2633" s="229"/>
      <c r="I2633" s="229"/>
      <c r="J2633" s="229"/>
      <c r="K2633" s="229"/>
      <c r="L2633" s="229"/>
      <c r="M2633" s="229"/>
      <c r="N2633" s="233"/>
    </row>
    <row r="2634" hidden="1" spans="1:14">
      <c r="A2634" s="235"/>
      <c r="B2634" s="230" t="s">
        <v>1031</v>
      </c>
      <c r="C2634" s="229">
        <v>5.4</v>
      </c>
      <c r="D2634" s="229">
        <v>5.4</v>
      </c>
      <c r="E2634" s="229">
        <v>5.4</v>
      </c>
      <c r="F2634" s="229"/>
      <c r="G2634" s="229"/>
      <c r="H2634" s="229"/>
      <c r="I2634" s="229"/>
      <c r="J2634" s="229"/>
      <c r="K2634" s="229"/>
      <c r="L2634" s="229"/>
      <c r="M2634" s="229"/>
      <c r="N2634" s="232"/>
    </row>
    <row r="2635" hidden="1" spans="1:14">
      <c r="A2635" s="235"/>
      <c r="B2635" s="230" t="s">
        <v>1037</v>
      </c>
      <c r="C2635" s="229">
        <v>0.147</v>
      </c>
      <c r="D2635" s="229">
        <v>0.147</v>
      </c>
      <c r="E2635" s="229">
        <v>0.147</v>
      </c>
      <c r="F2635" s="229"/>
      <c r="G2635" s="229"/>
      <c r="H2635" s="229"/>
      <c r="I2635" s="229"/>
      <c r="J2635" s="229"/>
      <c r="K2635" s="229"/>
      <c r="L2635" s="229"/>
      <c r="M2635" s="229"/>
      <c r="N2635" s="232"/>
    </row>
    <row r="2636" hidden="1" spans="1:14">
      <c r="A2636" s="235"/>
      <c r="B2636" s="230" t="s">
        <v>1039</v>
      </c>
      <c r="C2636" s="229">
        <v>5.834756</v>
      </c>
      <c r="D2636" s="229">
        <v>5.834756</v>
      </c>
      <c r="E2636" s="229">
        <v>5.834756</v>
      </c>
      <c r="F2636" s="229"/>
      <c r="G2636" s="229"/>
      <c r="H2636" s="229"/>
      <c r="I2636" s="229"/>
      <c r="J2636" s="229"/>
      <c r="K2636" s="229"/>
      <c r="L2636" s="229"/>
      <c r="M2636" s="229"/>
      <c r="N2636" s="232"/>
    </row>
    <row r="2637" hidden="1" spans="1:14">
      <c r="A2637" s="235"/>
      <c r="B2637" s="230" t="s">
        <v>1036</v>
      </c>
      <c r="C2637" s="229">
        <v>35.008536</v>
      </c>
      <c r="D2637" s="229">
        <v>35.008536</v>
      </c>
      <c r="E2637" s="229">
        <v>35.008536</v>
      </c>
      <c r="F2637" s="229"/>
      <c r="G2637" s="229"/>
      <c r="H2637" s="229"/>
      <c r="I2637" s="229"/>
      <c r="J2637" s="229"/>
      <c r="K2637" s="229"/>
      <c r="L2637" s="229"/>
      <c r="M2637" s="229"/>
      <c r="N2637" s="232"/>
    </row>
    <row r="2638" hidden="1" spans="1:14">
      <c r="A2638" s="235"/>
      <c r="B2638" s="230" t="s">
        <v>1028</v>
      </c>
      <c r="C2638" s="229">
        <v>5.88</v>
      </c>
      <c r="D2638" s="229">
        <v>5.88</v>
      </c>
      <c r="E2638" s="229">
        <v>5.88</v>
      </c>
      <c r="F2638" s="229"/>
      <c r="G2638" s="229"/>
      <c r="H2638" s="229"/>
      <c r="I2638" s="229"/>
      <c r="J2638" s="229"/>
      <c r="K2638" s="229"/>
      <c r="L2638" s="229"/>
      <c r="M2638" s="229"/>
      <c r="N2638" s="232"/>
    </row>
    <row r="2639" hidden="1" spans="1:14">
      <c r="A2639" s="235"/>
      <c r="B2639" s="230" t="s">
        <v>1029</v>
      </c>
      <c r="C2639" s="229">
        <v>37.26</v>
      </c>
      <c r="D2639" s="229">
        <v>37.26</v>
      </c>
      <c r="E2639" s="229">
        <v>37.26</v>
      </c>
      <c r="F2639" s="229"/>
      <c r="G2639" s="229"/>
      <c r="H2639" s="229"/>
      <c r="I2639" s="229"/>
      <c r="J2639" s="229"/>
      <c r="K2639" s="229"/>
      <c r="L2639" s="229"/>
      <c r="M2639" s="229"/>
      <c r="N2639" s="232"/>
    </row>
    <row r="2640" hidden="1" spans="1:14">
      <c r="A2640" s="235"/>
      <c r="B2640" s="230" t="s">
        <v>1033</v>
      </c>
      <c r="C2640" s="229">
        <v>76.789192</v>
      </c>
      <c r="D2640" s="229">
        <v>76.789192</v>
      </c>
      <c r="E2640" s="229">
        <v>76.789192</v>
      </c>
      <c r="F2640" s="229"/>
      <c r="G2640" s="229"/>
      <c r="H2640" s="229"/>
      <c r="I2640" s="229"/>
      <c r="J2640" s="229"/>
      <c r="K2640" s="229"/>
      <c r="L2640" s="229"/>
      <c r="M2640" s="229"/>
      <c r="N2640" s="232"/>
    </row>
    <row r="2641" hidden="1" spans="1:14">
      <c r="A2641" s="235"/>
      <c r="B2641" s="230" t="s">
        <v>1032</v>
      </c>
      <c r="C2641" s="229">
        <v>291.7378</v>
      </c>
      <c r="D2641" s="229">
        <v>291.7378</v>
      </c>
      <c r="E2641" s="229">
        <v>291.7378</v>
      </c>
      <c r="F2641" s="229"/>
      <c r="G2641" s="229"/>
      <c r="H2641" s="229"/>
      <c r="I2641" s="229"/>
      <c r="J2641" s="229"/>
      <c r="K2641" s="229"/>
      <c r="L2641" s="229"/>
      <c r="M2641" s="229"/>
      <c r="N2641" s="232"/>
    </row>
    <row r="2642" hidden="1" spans="1:14">
      <c r="A2642" s="235"/>
      <c r="B2642" s="230" t="s">
        <v>1030</v>
      </c>
      <c r="C2642" s="229">
        <v>8</v>
      </c>
      <c r="D2642" s="229">
        <v>8</v>
      </c>
      <c r="E2642" s="229">
        <v>8</v>
      </c>
      <c r="F2642" s="229"/>
      <c r="G2642" s="229"/>
      <c r="H2642" s="229"/>
      <c r="I2642" s="229"/>
      <c r="J2642" s="229"/>
      <c r="K2642" s="229"/>
      <c r="L2642" s="229"/>
      <c r="M2642" s="229"/>
      <c r="N2642" s="232"/>
    </row>
    <row r="2643" hidden="1" spans="1:14">
      <c r="A2643" s="235"/>
      <c r="B2643" s="230" t="s">
        <v>1035</v>
      </c>
      <c r="C2643" s="229">
        <v>0.2</v>
      </c>
      <c r="D2643" s="229">
        <v>0.2</v>
      </c>
      <c r="E2643" s="229">
        <v>0.2</v>
      </c>
      <c r="F2643" s="229"/>
      <c r="G2643" s="229"/>
      <c r="H2643" s="229"/>
      <c r="I2643" s="229"/>
      <c r="J2643" s="229"/>
      <c r="K2643" s="229"/>
      <c r="L2643" s="229"/>
      <c r="M2643" s="229"/>
      <c r="N2643" s="232"/>
    </row>
    <row r="2644" hidden="1" spans="1:14">
      <c r="A2644" s="209">
        <v>820002</v>
      </c>
      <c r="B2644" s="231" t="s">
        <v>987</v>
      </c>
      <c r="C2644" s="229">
        <v>123.476006</v>
      </c>
      <c r="D2644" s="229">
        <v>123.476006</v>
      </c>
      <c r="E2644" s="229">
        <v>123.476006</v>
      </c>
      <c r="F2644" s="229"/>
      <c r="G2644" s="229"/>
      <c r="H2644" s="229"/>
      <c r="I2644" s="229"/>
      <c r="J2644" s="229"/>
      <c r="K2644" s="229"/>
      <c r="L2644" s="229"/>
      <c r="M2644" s="229"/>
      <c r="N2644" s="233"/>
    </row>
    <row r="2645" hidden="1" spans="1:14">
      <c r="A2645" s="235"/>
      <c r="B2645" s="230" t="s">
        <v>1033</v>
      </c>
      <c r="C2645" s="229">
        <v>22.184014</v>
      </c>
      <c r="D2645" s="229">
        <v>22.184014</v>
      </c>
      <c r="E2645" s="229">
        <v>22.184014</v>
      </c>
      <c r="F2645" s="229"/>
      <c r="G2645" s="229"/>
      <c r="H2645" s="229"/>
      <c r="I2645" s="229"/>
      <c r="J2645" s="229"/>
      <c r="K2645" s="229"/>
      <c r="L2645" s="229"/>
      <c r="M2645" s="229"/>
      <c r="N2645" s="232"/>
    </row>
    <row r="2646" hidden="1" spans="1:14">
      <c r="A2646" s="235"/>
      <c r="B2646" s="230" t="s">
        <v>1039</v>
      </c>
      <c r="C2646" s="229">
        <v>1.622956</v>
      </c>
      <c r="D2646" s="229">
        <v>1.622956</v>
      </c>
      <c r="E2646" s="229">
        <v>1.622956</v>
      </c>
      <c r="F2646" s="229"/>
      <c r="G2646" s="229"/>
      <c r="H2646" s="229"/>
      <c r="I2646" s="229"/>
      <c r="J2646" s="229"/>
      <c r="K2646" s="229"/>
      <c r="L2646" s="229"/>
      <c r="M2646" s="229"/>
      <c r="N2646" s="232"/>
    </row>
    <row r="2647" hidden="1" spans="1:14">
      <c r="A2647" s="235"/>
      <c r="B2647" s="230" t="s">
        <v>1032</v>
      </c>
      <c r="C2647" s="229">
        <v>81.1478</v>
      </c>
      <c r="D2647" s="229">
        <v>81.1478</v>
      </c>
      <c r="E2647" s="229">
        <v>81.1478</v>
      </c>
      <c r="F2647" s="229"/>
      <c r="G2647" s="229"/>
      <c r="H2647" s="229"/>
      <c r="I2647" s="229"/>
      <c r="J2647" s="229"/>
      <c r="K2647" s="229"/>
      <c r="L2647" s="229"/>
      <c r="M2647" s="229"/>
      <c r="N2647" s="232"/>
    </row>
    <row r="2648" hidden="1" spans="1:14">
      <c r="A2648" s="235"/>
      <c r="B2648" s="230" t="s">
        <v>1029</v>
      </c>
      <c r="C2648" s="229">
        <v>5.67</v>
      </c>
      <c r="D2648" s="229">
        <v>5.67</v>
      </c>
      <c r="E2648" s="229">
        <v>5.67</v>
      </c>
      <c r="F2648" s="229"/>
      <c r="G2648" s="229"/>
      <c r="H2648" s="229"/>
      <c r="I2648" s="229"/>
      <c r="J2648" s="229"/>
      <c r="K2648" s="229"/>
      <c r="L2648" s="229"/>
      <c r="M2648" s="229"/>
      <c r="N2648" s="232"/>
    </row>
    <row r="2649" hidden="1" spans="1:14">
      <c r="A2649" s="235"/>
      <c r="B2649" s="230" t="s">
        <v>1036</v>
      </c>
      <c r="C2649" s="229">
        <v>9.737736</v>
      </c>
      <c r="D2649" s="229">
        <v>9.737736</v>
      </c>
      <c r="E2649" s="229">
        <v>9.737736</v>
      </c>
      <c r="F2649" s="229"/>
      <c r="G2649" s="229"/>
      <c r="H2649" s="229"/>
      <c r="I2649" s="229"/>
      <c r="J2649" s="229"/>
      <c r="K2649" s="229"/>
      <c r="L2649" s="229"/>
      <c r="M2649" s="229"/>
      <c r="N2649" s="232"/>
    </row>
    <row r="2650" hidden="1" spans="1:14">
      <c r="A2650" s="235"/>
      <c r="B2650" s="230" t="s">
        <v>1035</v>
      </c>
      <c r="C2650" s="229">
        <v>0.1</v>
      </c>
      <c r="D2650" s="229">
        <v>0.1</v>
      </c>
      <c r="E2650" s="229">
        <v>0.1</v>
      </c>
      <c r="F2650" s="229"/>
      <c r="G2650" s="229"/>
      <c r="H2650" s="229"/>
      <c r="I2650" s="229"/>
      <c r="J2650" s="229"/>
      <c r="K2650" s="229"/>
      <c r="L2650" s="229"/>
      <c r="M2650" s="229"/>
      <c r="N2650" s="232"/>
    </row>
    <row r="2651" hidden="1" spans="1:14">
      <c r="A2651" s="235"/>
      <c r="B2651" s="230" t="s">
        <v>1028</v>
      </c>
      <c r="C2651" s="229">
        <v>2.94</v>
      </c>
      <c r="D2651" s="229">
        <v>2.94</v>
      </c>
      <c r="E2651" s="229">
        <v>2.94</v>
      </c>
      <c r="F2651" s="229"/>
      <c r="G2651" s="229"/>
      <c r="H2651" s="229"/>
      <c r="I2651" s="229"/>
      <c r="J2651" s="229"/>
      <c r="K2651" s="229"/>
      <c r="L2651" s="229"/>
      <c r="M2651" s="229"/>
      <c r="N2651" s="232"/>
    </row>
    <row r="2652" hidden="1" spans="1:14">
      <c r="A2652" s="235"/>
      <c r="B2652" s="230" t="s">
        <v>1037</v>
      </c>
      <c r="C2652" s="229">
        <v>0.0735</v>
      </c>
      <c r="D2652" s="229">
        <v>0.0735</v>
      </c>
      <c r="E2652" s="229">
        <v>0.0735</v>
      </c>
      <c r="F2652" s="229"/>
      <c r="G2652" s="229"/>
      <c r="H2652" s="229"/>
      <c r="I2652" s="229"/>
      <c r="J2652" s="229"/>
      <c r="K2652" s="229"/>
      <c r="L2652" s="229"/>
      <c r="M2652" s="229"/>
      <c r="N2652" s="232"/>
    </row>
    <row r="2653" hidden="1" spans="1:14">
      <c r="A2653" s="209">
        <v>820003</v>
      </c>
      <c r="B2653" s="231" t="s">
        <v>989</v>
      </c>
      <c r="C2653" s="229">
        <v>19.835076</v>
      </c>
      <c r="D2653" s="229">
        <v>19.835076</v>
      </c>
      <c r="E2653" s="229">
        <v>19.835076</v>
      </c>
      <c r="F2653" s="229"/>
      <c r="G2653" s="229"/>
      <c r="H2653" s="229"/>
      <c r="I2653" s="229"/>
      <c r="J2653" s="229"/>
      <c r="K2653" s="229"/>
      <c r="L2653" s="229"/>
      <c r="M2653" s="229"/>
      <c r="N2653" s="233"/>
    </row>
    <row r="2654" hidden="1" spans="1:14">
      <c r="A2654" s="235"/>
      <c r="B2654" s="230" t="s">
        <v>1036</v>
      </c>
      <c r="C2654" s="229">
        <v>1.6206</v>
      </c>
      <c r="D2654" s="229">
        <v>1.6206</v>
      </c>
      <c r="E2654" s="229">
        <v>1.6206</v>
      </c>
      <c r="F2654" s="229"/>
      <c r="G2654" s="229"/>
      <c r="H2654" s="229"/>
      <c r="I2654" s="229"/>
      <c r="J2654" s="229"/>
      <c r="K2654" s="229"/>
      <c r="L2654" s="229"/>
      <c r="M2654" s="229"/>
      <c r="N2654" s="232"/>
    </row>
    <row r="2655" hidden="1" spans="1:14">
      <c r="A2655" s="235"/>
      <c r="B2655" s="230" t="s">
        <v>1039</v>
      </c>
      <c r="C2655" s="229">
        <v>0.2701</v>
      </c>
      <c r="D2655" s="229">
        <v>0.2701</v>
      </c>
      <c r="E2655" s="229">
        <v>0.2701</v>
      </c>
      <c r="F2655" s="229"/>
      <c r="G2655" s="229"/>
      <c r="H2655" s="229"/>
      <c r="I2655" s="229"/>
      <c r="J2655" s="229"/>
      <c r="K2655" s="229"/>
      <c r="L2655" s="229"/>
      <c r="M2655" s="229"/>
      <c r="N2655" s="232"/>
    </row>
    <row r="2656" hidden="1" spans="1:14">
      <c r="A2656" s="235"/>
      <c r="B2656" s="230" t="s">
        <v>1029</v>
      </c>
      <c r="C2656" s="229">
        <v>0.81</v>
      </c>
      <c r="D2656" s="229">
        <v>0.81</v>
      </c>
      <c r="E2656" s="229">
        <v>0.81</v>
      </c>
      <c r="F2656" s="229"/>
      <c r="G2656" s="229"/>
      <c r="H2656" s="229"/>
      <c r="I2656" s="229"/>
      <c r="J2656" s="229"/>
      <c r="K2656" s="229"/>
      <c r="L2656" s="229"/>
      <c r="M2656" s="229"/>
      <c r="N2656" s="232"/>
    </row>
    <row r="2657" hidden="1" spans="1:14">
      <c r="A2657" s="235"/>
      <c r="B2657" s="230" t="s">
        <v>1033</v>
      </c>
      <c r="C2657" s="229">
        <v>3.629376</v>
      </c>
      <c r="D2657" s="229">
        <v>3.629376</v>
      </c>
      <c r="E2657" s="229">
        <v>3.629376</v>
      </c>
      <c r="F2657" s="229"/>
      <c r="G2657" s="229"/>
      <c r="H2657" s="229"/>
      <c r="I2657" s="229"/>
      <c r="J2657" s="229"/>
      <c r="K2657" s="229"/>
      <c r="L2657" s="229"/>
      <c r="M2657" s="229"/>
      <c r="N2657" s="232"/>
    </row>
    <row r="2658" hidden="1" spans="1:14">
      <c r="A2658" s="235"/>
      <c r="B2658" s="230" t="s">
        <v>1032</v>
      </c>
      <c r="C2658" s="229">
        <v>13.505</v>
      </c>
      <c r="D2658" s="229">
        <v>13.505</v>
      </c>
      <c r="E2658" s="229">
        <v>13.505</v>
      </c>
      <c r="F2658" s="229"/>
      <c r="G2658" s="229"/>
      <c r="H2658" s="229"/>
      <c r="I2658" s="229"/>
      <c r="J2658" s="229"/>
      <c r="K2658" s="229"/>
      <c r="L2658" s="229"/>
      <c r="M2658" s="229"/>
      <c r="N2658" s="232"/>
    </row>
    <row r="2659" hidden="1" spans="1:14">
      <c r="A2659" s="209">
        <v>820004</v>
      </c>
      <c r="B2659" s="231" t="s">
        <v>991</v>
      </c>
      <c r="C2659" s="229">
        <v>15.568807</v>
      </c>
      <c r="D2659" s="229">
        <v>15.568807</v>
      </c>
      <c r="E2659" s="229">
        <v>15.568807</v>
      </c>
      <c r="F2659" s="229"/>
      <c r="G2659" s="229"/>
      <c r="H2659" s="229"/>
      <c r="I2659" s="229"/>
      <c r="J2659" s="229"/>
      <c r="K2659" s="229"/>
      <c r="L2659" s="229"/>
      <c r="M2659" s="229"/>
      <c r="N2659" s="233"/>
    </row>
    <row r="2660" hidden="1" spans="1:14">
      <c r="A2660" s="235"/>
      <c r="B2660" s="230" t="s">
        <v>1029</v>
      </c>
      <c r="C2660" s="229">
        <v>0.81</v>
      </c>
      <c r="D2660" s="229">
        <v>0.81</v>
      </c>
      <c r="E2660" s="229">
        <v>0.81</v>
      </c>
      <c r="F2660" s="229"/>
      <c r="G2660" s="229"/>
      <c r="H2660" s="229"/>
      <c r="I2660" s="229"/>
      <c r="J2660" s="229"/>
      <c r="K2660" s="229"/>
      <c r="L2660" s="229"/>
      <c r="M2660" s="229"/>
      <c r="N2660" s="232"/>
    </row>
    <row r="2661" hidden="1" spans="1:14">
      <c r="A2661" s="235"/>
      <c r="B2661" s="230" t="s">
        <v>1033</v>
      </c>
      <c r="C2661" s="229">
        <v>2.763955</v>
      </c>
      <c r="D2661" s="229">
        <v>2.763955</v>
      </c>
      <c r="E2661" s="229">
        <v>2.763955</v>
      </c>
      <c r="F2661" s="229"/>
      <c r="G2661" s="229"/>
      <c r="H2661" s="229"/>
      <c r="I2661" s="229"/>
      <c r="J2661" s="229"/>
      <c r="K2661" s="229"/>
      <c r="L2661" s="229"/>
      <c r="M2661" s="229"/>
      <c r="N2661" s="232"/>
    </row>
    <row r="2662" hidden="1" spans="1:14">
      <c r="A2662" s="235"/>
      <c r="B2662" s="230" t="s">
        <v>1032</v>
      </c>
      <c r="C2662" s="229">
        <v>10.5218</v>
      </c>
      <c r="D2662" s="229">
        <v>10.5218</v>
      </c>
      <c r="E2662" s="229">
        <v>10.5218</v>
      </c>
      <c r="F2662" s="229"/>
      <c r="G2662" s="229"/>
      <c r="H2662" s="229"/>
      <c r="I2662" s="229"/>
      <c r="J2662" s="229"/>
      <c r="K2662" s="229"/>
      <c r="L2662" s="229"/>
      <c r="M2662" s="229"/>
      <c r="N2662" s="232"/>
    </row>
    <row r="2663" hidden="1" spans="1:14">
      <c r="A2663" s="235"/>
      <c r="B2663" s="230" t="s">
        <v>1039</v>
      </c>
      <c r="C2663" s="229">
        <v>0.210436</v>
      </c>
      <c r="D2663" s="229">
        <v>0.210436</v>
      </c>
      <c r="E2663" s="229">
        <v>0.210436</v>
      </c>
      <c r="F2663" s="229"/>
      <c r="G2663" s="229"/>
      <c r="H2663" s="229"/>
      <c r="I2663" s="229"/>
      <c r="J2663" s="229"/>
      <c r="K2663" s="229"/>
      <c r="L2663" s="229"/>
      <c r="M2663" s="229"/>
      <c r="N2663" s="232"/>
    </row>
    <row r="2664" hidden="1" spans="1:14">
      <c r="A2664" s="235"/>
      <c r="B2664" s="230" t="s">
        <v>1036</v>
      </c>
      <c r="C2664" s="229">
        <v>1.262616</v>
      </c>
      <c r="D2664" s="229">
        <v>1.262616</v>
      </c>
      <c r="E2664" s="229">
        <v>1.262616</v>
      </c>
      <c r="F2664" s="229"/>
      <c r="G2664" s="229"/>
      <c r="H2664" s="229"/>
      <c r="I2664" s="229"/>
      <c r="J2664" s="229"/>
      <c r="K2664" s="229"/>
      <c r="L2664" s="229"/>
      <c r="M2664" s="229"/>
      <c r="N2664" s="232"/>
    </row>
    <row r="2665" hidden="1" spans="1:14">
      <c r="A2665" s="209">
        <v>820005</v>
      </c>
      <c r="B2665" s="231" t="s">
        <v>993</v>
      </c>
      <c r="C2665" s="229">
        <v>16.898858</v>
      </c>
      <c r="D2665" s="229">
        <v>16.898858</v>
      </c>
      <c r="E2665" s="229">
        <v>16.898858</v>
      </c>
      <c r="F2665" s="229"/>
      <c r="G2665" s="229"/>
      <c r="H2665" s="229"/>
      <c r="I2665" s="229"/>
      <c r="J2665" s="229"/>
      <c r="K2665" s="229"/>
      <c r="L2665" s="229"/>
      <c r="M2665" s="229"/>
      <c r="N2665" s="233"/>
    </row>
    <row r="2666" hidden="1" spans="1:14">
      <c r="A2666" s="235"/>
      <c r="B2666" s="230" t="s">
        <v>1036</v>
      </c>
      <c r="C2666" s="229">
        <v>1.374072</v>
      </c>
      <c r="D2666" s="229">
        <v>1.374072</v>
      </c>
      <c r="E2666" s="229">
        <v>1.374072</v>
      </c>
      <c r="F2666" s="229"/>
      <c r="G2666" s="229"/>
      <c r="H2666" s="229"/>
      <c r="I2666" s="229"/>
      <c r="J2666" s="229"/>
      <c r="K2666" s="229"/>
      <c r="L2666" s="229"/>
      <c r="M2666" s="229"/>
      <c r="N2666" s="232"/>
    </row>
    <row r="2667" hidden="1" spans="1:14">
      <c r="A2667" s="235"/>
      <c r="B2667" s="230" t="s">
        <v>1039</v>
      </c>
      <c r="C2667" s="229">
        <v>0.229012</v>
      </c>
      <c r="D2667" s="229">
        <v>0.229012</v>
      </c>
      <c r="E2667" s="229">
        <v>0.229012</v>
      </c>
      <c r="F2667" s="229"/>
      <c r="G2667" s="229"/>
      <c r="H2667" s="229"/>
      <c r="I2667" s="229"/>
      <c r="J2667" s="229"/>
      <c r="K2667" s="229"/>
      <c r="L2667" s="229"/>
      <c r="M2667" s="229"/>
      <c r="N2667" s="232"/>
    </row>
    <row r="2668" hidden="1" spans="1:14">
      <c r="A2668" s="235"/>
      <c r="B2668" s="230" t="s">
        <v>1029</v>
      </c>
      <c r="C2668" s="229">
        <v>0.81</v>
      </c>
      <c r="D2668" s="229">
        <v>0.81</v>
      </c>
      <c r="E2668" s="229">
        <v>0.81</v>
      </c>
      <c r="F2668" s="229"/>
      <c r="G2668" s="229"/>
      <c r="H2668" s="229"/>
      <c r="I2668" s="229"/>
      <c r="J2668" s="229"/>
      <c r="K2668" s="229"/>
      <c r="L2668" s="229"/>
      <c r="M2668" s="229"/>
      <c r="N2668" s="232"/>
    </row>
    <row r="2669" hidden="1" spans="1:14">
      <c r="A2669" s="235"/>
      <c r="B2669" s="230" t="s">
        <v>1033</v>
      </c>
      <c r="C2669" s="229">
        <v>3.035174</v>
      </c>
      <c r="D2669" s="229">
        <v>3.035174</v>
      </c>
      <c r="E2669" s="229">
        <v>3.035174</v>
      </c>
      <c r="F2669" s="229"/>
      <c r="G2669" s="229"/>
      <c r="H2669" s="229"/>
      <c r="I2669" s="229"/>
      <c r="J2669" s="229"/>
      <c r="K2669" s="229"/>
      <c r="L2669" s="229"/>
      <c r="M2669" s="229"/>
      <c r="N2669" s="232"/>
    </row>
    <row r="2670" hidden="1" spans="1:14">
      <c r="A2670" s="235"/>
      <c r="B2670" s="230" t="s">
        <v>1032</v>
      </c>
      <c r="C2670" s="229">
        <v>11.4506</v>
      </c>
      <c r="D2670" s="229">
        <v>11.4506</v>
      </c>
      <c r="E2670" s="229">
        <v>11.4506</v>
      </c>
      <c r="F2670" s="229"/>
      <c r="G2670" s="229"/>
      <c r="H2670" s="229"/>
      <c r="I2670" s="229"/>
      <c r="J2670" s="229"/>
      <c r="K2670" s="229"/>
      <c r="L2670" s="229"/>
      <c r="M2670" s="229"/>
      <c r="N2670" s="232"/>
    </row>
    <row r="2671" hidden="1" spans="1:14">
      <c r="A2671" s="209">
        <v>821001</v>
      </c>
      <c r="B2671" s="230" t="s">
        <v>1162</v>
      </c>
      <c r="C2671" s="229">
        <v>831.910084</v>
      </c>
      <c r="D2671" s="229">
        <v>831.910084</v>
      </c>
      <c r="E2671" s="229">
        <v>831.910084</v>
      </c>
      <c r="F2671" s="229"/>
      <c r="G2671" s="229"/>
      <c r="H2671" s="229"/>
      <c r="I2671" s="229"/>
      <c r="J2671" s="229"/>
      <c r="K2671" s="229"/>
      <c r="L2671" s="229"/>
      <c r="M2671" s="229"/>
      <c r="N2671" s="233"/>
    </row>
    <row r="2672" hidden="1" spans="1:14">
      <c r="A2672" s="235"/>
      <c r="B2672" s="230" t="s">
        <v>1031</v>
      </c>
      <c r="C2672" s="229">
        <v>25.5</v>
      </c>
      <c r="D2672" s="229">
        <v>25.5</v>
      </c>
      <c r="E2672" s="229">
        <v>25.5</v>
      </c>
      <c r="F2672" s="229"/>
      <c r="G2672" s="229"/>
      <c r="H2672" s="229"/>
      <c r="I2672" s="229"/>
      <c r="J2672" s="229"/>
      <c r="K2672" s="229"/>
      <c r="L2672" s="229"/>
      <c r="M2672" s="229"/>
      <c r="N2672" s="232"/>
    </row>
    <row r="2673" hidden="1" spans="1:14">
      <c r="A2673" s="235"/>
      <c r="B2673" s="230" t="s">
        <v>1028</v>
      </c>
      <c r="C2673" s="229">
        <v>75.4332</v>
      </c>
      <c r="D2673" s="229">
        <v>75.4332</v>
      </c>
      <c r="E2673" s="229">
        <v>75.4332</v>
      </c>
      <c r="F2673" s="229"/>
      <c r="G2673" s="229"/>
      <c r="H2673" s="229"/>
      <c r="I2673" s="229"/>
      <c r="J2673" s="229"/>
      <c r="K2673" s="229"/>
      <c r="L2673" s="229"/>
      <c r="M2673" s="229"/>
      <c r="N2673" s="232"/>
    </row>
    <row r="2674" hidden="1" spans="1:14">
      <c r="A2674" s="235"/>
      <c r="B2674" s="230" t="s">
        <v>1029</v>
      </c>
      <c r="C2674" s="229">
        <v>53.622</v>
      </c>
      <c r="D2674" s="229">
        <v>53.622</v>
      </c>
      <c r="E2674" s="229">
        <v>53.622</v>
      </c>
      <c r="F2674" s="229"/>
      <c r="G2674" s="229"/>
      <c r="H2674" s="229"/>
      <c r="I2674" s="229"/>
      <c r="J2674" s="229"/>
      <c r="K2674" s="229"/>
      <c r="L2674" s="229"/>
      <c r="M2674" s="229"/>
      <c r="N2674" s="232"/>
    </row>
    <row r="2675" hidden="1" spans="1:14">
      <c r="A2675" s="235"/>
      <c r="B2675" s="230" t="s">
        <v>1039</v>
      </c>
      <c r="C2675" s="229">
        <v>9.004074</v>
      </c>
      <c r="D2675" s="229">
        <v>9.004074</v>
      </c>
      <c r="E2675" s="229">
        <v>9.004074</v>
      </c>
      <c r="F2675" s="229"/>
      <c r="G2675" s="229"/>
      <c r="H2675" s="229"/>
      <c r="I2675" s="229"/>
      <c r="J2675" s="229"/>
      <c r="K2675" s="229"/>
      <c r="L2675" s="229"/>
      <c r="M2675" s="229"/>
      <c r="N2675" s="232"/>
    </row>
    <row r="2676" hidden="1" spans="1:14">
      <c r="A2676" s="235"/>
      <c r="B2676" s="230" t="s">
        <v>1036</v>
      </c>
      <c r="C2676" s="229">
        <v>54.024444</v>
      </c>
      <c r="D2676" s="229">
        <v>54.024444</v>
      </c>
      <c r="E2676" s="229">
        <v>54.024444</v>
      </c>
      <c r="F2676" s="229"/>
      <c r="G2676" s="229"/>
      <c r="H2676" s="229"/>
      <c r="I2676" s="229"/>
      <c r="J2676" s="229"/>
      <c r="K2676" s="229"/>
      <c r="L2676" s="229"/>
      <c r="M2676" s="229"/>
      <c r="N2676" s="232"/>
    </row>
    <row r="2677" hidden="1" spans="1:14">
      <c r="A2677" s="235"/>
      <c r="B2677" s="230" t="s">
        <v>1030</v>
      </c>
      <c r="C2677" s="229">
        <v>20</v>
      </c>
      <c r="D2677" s="229">
        <v>20</v>
      </c>
      <c r="E2677" s="229">
        <v>20</v>
      </c>
      <c r="F2677" s="229"/>
      <c r="G2677" s="229"/>
      <c r="H2677" s="229"/>
      <c r="I2677" s="229"/>
      <c r="J2677" s="229"/>
      <c r="K2677" s="229"/>
      <c r="L2677" s="229"/>
      <c r="M2677" s="229"/>
      <c r="N2677" s="232"/>
    </row>
    <row r="2678" hidden="1" spans="1:14">
      <c r="A2678" s="235"/>
      <c r="B2678" s="230" t="s">
        <v>1037</v>
      </c>
      <c r="C2678" s="229">
        <v>1.88583</v>
      </c>
      <c r="D2678" s="229">
        <v>1.88583</v>
      </c>
      <c r="E2678" s="229">
        <v>1.88583</v>
      </c>
      <c r="F2678" s="229"/>
      <c r="G2678" s="229"/>
      <c r="H2678" s="229"/>
      <c r="I2678" s="229"/>
      <c r="J2678" s="229"/>
      <c r="K2678" s="229"/>
      <c r="L2678" s="229"/>
      <c r="M2678" s="229"/>
      <c r="N2678" s="232"/>
    </row>
    <row r="2679" hidden="1" spans="1:14">
      <c r="A2679" s="235"/>
      <c r="B2679" s="230" t="s">
        <v>1033</v>
      </c>
      <c r="C2679" s="229">
        <v>139.156836</v>
      </c>
      <c r="D2679" s="229">
        <v>139.156836</v>
      </c>
      <c r="E2679" s="229">
        <v>139.156836</v>
      </c>
      <c r="F2679" s="229"/>
      <c r="G2679" s="229"/>
      <c r="H2679" s="229"/>
      <c r="I2679" s="229"/>
      <c r="J2679" s="229"/>
      <c r="K2679" s="229"/>
      <c r="L2679" s="229"/>
      <c r="M2679" s="229"/>
      <c r="N2679" s="232"/>
    </row>
    <row r="2680" hidden="1" spans="1:14">
      <c r="A2680" s="235"/>
      <c r="B2680" s="230" t="s">
        <v>1032</v>
      </c>
      <c r="C2680" s="229">
        <v>450.2037</v>
      </c>
      <c r="D2680" s="229">
        <v>450.2037</v>
      </c>
      <c r="E2680" s="229">
        <v>450.2037</v>
      </c>
      <c r="F2680" s="229"/>
      <c r="G2680" s="229"/>
      <c r="H2680" s="229"/>
      <c r="I2680" s="229"/>
      <c r="J2680" s="229"/>
      <c r="K2680" s="229"/>
      <c r="L2680" s="229"/>
      <c r="M2680" s="229"/>
      <c r="N2680" s="232"/>
    </row>
    <row r="2681" hidden="1" spans="1:14">
      <c r="A2681" s="235"/>
      <c r="B2681" s="230" t="s">
        <v>1038</v>
      </c>
      <c r="C2681" s="229">
        <v>0.78</v>
      </c>
      <c r="D2681" s="229">
        <v>0.78</v>
      </c>
      <c r="E2681" s="229">
        <v>0.78</v>
      </c>
      <c r="F2681" s="229"/>
      <c r="G2681" s="229"/>
      <c r="H2681" s="229"/>
      <c r="I2681" s="229"/>
      <c r="J2681" s="229"/>
      <c r="K2681" s="229"/>
      <c r="L2681" s="229"/>
      <c r="M2681" s="229"/>
      <c r="N2681" s="232"/>
    </row>
    <row r="2682" hidden="1" spans="1:14">
      <c r="A2682" s="235"/>
      <c r="B2682" s="230" t="s">
        <v>1035</v>
      </c>
      <c r="C2682" s="229">
        <v>2.3</v>
      </c>
      <c r="D2682" s="229">
        <v>2.3</v>
      </c>
      <c r="E2682" s="229">
        <v>2.3</v>
      </c>
      <c r="F2682" s="229"/>
      <c r="G2682" s="229"/>
      <c r="H2682" s="229"/>
      <c r="I2682" s="229"/>
      <c r="J2682" s="229"/>
      <c r="K2682" s="229"/>
      <c r="L2682" s="229"/>
      <c r="M2682" s="229"/>
      <c r="N2682" s="232"/>
    </row>
    <row r="2683" hidden="1" spans="1:14">
      <c r="A2683" s="209">
        <v>821002</v>
      </c>
      <c r="B2683" s="230" t="s">
        <v>998</v>
      </c>
      <c r="C2683" s="229">
        <v>438.053282</v>
      </c>
      <c r="D2683" s="229">
        <v>438.053282</v>
      </c>
      <c r="E2683" s="229">
        <v>438.053282</v>
      </c>
      <c r="F2683" s="229"/>
      <c r="G2683" s="229"/>
      <c r="H2683" s="229"/>
      <c r="I2683" s="229"/>
      <c r="J2683" s="229"/>
      <c r="K2683" s="229"/>
      <c r="L2683" s="229"/>
      <c r="M2683" s="229"/>
      <c r="N2683" s="233"/>
    </row>
    <row r="2684" hidden="1" spans="1:14">
      <c r="A2684" s="235"/>
      <c r="B2684" s="230" t="s">
        <v>1031</v>
      </c>
      <c r="C2684" s="229">
        <v>2.1</v>
      </c>
      <c r="D2684" s="229">
        <v>2.1</v>
      </c>
      <c r="E2684" s="229">
        <v>2.1</v>
      </c>
      <c r="F2684" s="229"/>
      <c r="G2684" s="229"/>
      <c r="H2684" s="229"/>
      <c r="I2684" s="229"/>
      <c r="J2684" s="229"/>
      <c r="K2684" s="229"/>
      <c r="L2684" s="229"/>
      <c r="M2684" s="229"/>
      <c r="N2684" s="232"/>
    </row>
    <row r="2685" hidden="1" spans="1:14">
      <c r="A2685" s="235"/>
      <c r="B2685" s="230" t="s">
        <v>1037</v>
      </c>
      <c r="C2685" s="229">
        <v>0.2205</v>
      </c>
      <c r="D2685" s="229">
        <v>0.2205</v>
      </c>
      <c r="E2685" s="229">
        <v>0.2205</v>
      </c>
      <c r="F2685" s="229"/>
      <c r="G2685" s="229"/>
      <c r="H2685" s="229"/>
      <c r="I2685" s="229"/>
      <c r="J2685" s="229"/>
      <c r="K2685" s="229"/>
      <c r="L2685" s="229"/>
      <c r="M2685" s="229"/>
      <c r="N2685" s="232"/>
    </row>
    <row r="2686" hidden="1" spans="1:14">
      <c r="A2686" s="235"/>
      <c r="B2686" s="230" t="s">
        <v>1039</v>
      </c>
      <c r="C2686" s="229">
        <v>5.593756</v>
      </c>
      <c r="D2686" s="229">
        <v>5.593756</v>
      </c>
      <c r="E2686" s="229">
        <v>5.593756</v>
      </c>
      <c r="F2686" s="229"/>
      <c r="G2686" s="229"/>
      <c r="H2686" s="229"/>
      <c r="I2686" s="229"/>
      <c r="J2686" s="229"/>
      <c r="K2686" s="229"/>
      <c r="L2686" s="229"/>
      <c r="M2686" s="229"/>
      <c r="N2686" s="232"/>
    </row>
    <row r="2687" hidden="1" spans="1:14">
      <c r="A2687" s="235"/>
      <c r="B2687" s="230" t="s">
        <v>1036</v>
      </c>
      <c r="C2687" s="229">
        <v>33.562536</v>
      </c>
      <c r="D2687" s="229">
        <v>33.562536</v>
      </c>
      <c r="E2687" s="229">
        <v>33.562536</v>
      </c>
      <c r="F2687" s="229"/>
      <c r="G2687" s="229"/>
      <c r="H2687" s="229"/>
      <c r="I2687" s="229"/>
      <c r="J2687" s="229"/>
      <c r="K2687" s="229"/>
      <c r="L2687" s="229"/>
      <c r="M2687" s="229"/>
      <c r="N2687" s="232"/>
    </row>
    <row r="2688" hidden="1" spans="1:14">
      <c r="A2688" s="235"/>
      <c r="B2688" s="230" t="s">
        <v>1028</v>
      </c>
      <c r="C2688" s="229">
        <v>8.82</v>
      </c>
      <c r="D2688" s="229">
        <v>8.82</v>
      </c>
      <c r="E2688" s="229">
        <v>8.82</v>
      </c>
      <c r="F2688" s="229"/>
      <c r="G2688" s="229"/>
      <c r="H2688" s="229"/>
      <c r="I2688" s="229"/>
      <c r="J2688" s="229"/>
      <c r="K2688" s="229"/>
      <c r="L2688" s="229"/>
      <c r="M2688" s="229"/>
      <c r="N2688" s="232"/>
    </row>
    <row r="2689" hidden="1" spans="1:14">
      <c r="A2689" s="235"/>
      <c r="B2689" s="230" t="s">
        <v>1029</v>
      </c>
      <c r="C2689" s="229">
        <v>30.5</v>
      </c>
      <c r="D2689" s="229">
        <v>30.5</v>
      </c>
      <c r="E2689" s="229">
        <v>30.5</v>
      </c>
      <c r="F2689" s="229"/>
      <c r="G2689" s="229"/>
      <c r="H2689" s="229"/>
      <c r="I2689" s="229"/>
      <c r="J2689" s="229"/>
      <c r="K2689" s="229"/>
      <c r="L2689" s="229"/>
      <c r="M2689" s="229"/>
      <c r="N2689" s="232"/>
    </row>
    <row r="2690" hidden="1" spans="1:14">
      <c r="A2690" s="235"/>
      <c r="B2690" s="230" t="s">
        <v>1033</v>
      </c>
      <c r="C2690" s="229">
        <v>77.26869</v>
      </c>
      <c r="D2690" s="229">
        <v>77.26869</v>
      </c>
      <c r="E2690" s="229">
        <v>77.26869</v>
      </c>
      <c r="F2690" s="229"/>
      <c r="G2690" s="229"/>
      <c r="H2690" s="229"/>
      <c r="I2690" s="229"/>
      <c r="J2690" s="229"/>
      <c r="K2690" s="229"/>
      <c r="L2690" s="229"/>
      <c r="M2690" s="229"/>
      <c r="N2690" s="232"/>
    </row>
    <row r="2691" hidden="1" spans="1:14">
      <c r="A2691" s="235"/>
      <c r="B2691" s="230" t="s">
        <v>1032</v>
      </c>
      <c r="C2691" s="229">
        <v>279.6878</v>
      </c>
      <c r="D2691" s="229">
        <v>279.6878</v>
      </c>
      <c r="E2691" s="229">
        <v>279.6878</v>
      </c>
      <c r="F2691" s="229"/>
      <c r="G2691" s="229"/>
      <c r="H2691" s="229"/>
      <c r="I2691" s="229"/>
      <c r="J2691" s="229"/>
      <c r="K2691" s="229"/>
      <c r="L2691" s="229"/>
      <c r="M2691" s="229"/>
      <c r="N2691" s="232"/>
    </row>
    <row r="2692" hidden="1" spans="1:14">
      <c r="A2692" s="235"/>
      <c r="B2692" s="230" t="s">
        <v>1035</v>
      </c>
      <c r="C2692" s="229">
        <v>0.3</v>
      </c>
      <c r="D2692" s="229">
        <v>0.3</v>
      </c>
      <c r="E2692" s="229">
        <v>0.3</v>
      </c>
      <c r="F2692" s="229"/>
      <c r="G2692" s="229"/>
      <c r="H2692" s="229"/>
      <c r="I2692" s="229"/>
      <c r="J2692" s="229"/>
      <c r="K2692" s="229"/>
      <c r="L2692" s="229"/>
      <c r="M2692" s="229"/>
      <c r="N2692" s="232"/>
    </row>
    <row r="2693" hidden="1" spans="1:14">
      <c r="A2693" s="209">
        <v>821003</v>
      </c>
      <c r="B2693" s="230" t="s">
        <v>1000</v>
      </c>
      <c r="C2693" s="229">
        <v>160.700974</v>
      </c>
      <c r="D2693" s="229">
        <v>160.700974</v>
      </c>
      <c r="E2693" s="229">
        <v>160.700974</v>
      </c>
      <c r="F2693" s="229"/>
      <c r="G2693" s="229"/>
      <c r="H2693" s="229"/>
      <c r="I2693" s="229"/>
      <c r="J2693" s="229"/>
      <c r="K2693" s="229"/>
      <c r="L2693" s="229"/>
      <c r="M2693" s="229"/>
      <c r="N2693" s="233"/>
    </row>
    <row r="2694" hidden="1" spans="1:14">
      <c r="A2694" s="235"/>
      <c r="B2694" s="230" t="s">
        <v>1031</v>
      </c>
      <c r="C2694" s="229">
        <v>1.44</v>
      </c>
      <c r="D2694" s="229">
        <v>1.44</v>
      </c>
      <c r="E2694" s="229">
        <v>1.44</v>
      </c>
      <c r="F2694" s="229"/>
      <c r="G2694" s="229"/>
      <c r="H2694" s="229"/>
      <c r="I2694" s="229"/>
      <c r="J2694" s="229"/>
      <c r="K2694" s="229"/>
      <c r="L2694" s="229"/>
      <c r="M2694" s="229"/>
      <c r="N2694" s="232"/>
    </row>
    <row r="2695" hidden="1" spans="1:14">
      <c r="A2695" s="235"/>
      <c r="B2695" s="230" t="s">
        <v>1029</v>
      </c>
      <c r="C2695" s="229">
        <v>10.98</v>
      </c>
      <c r="D2695" s="229">
        <v>10.98</v>
      </c>
      <c r="E2695" s="229">
        <v>10.98</v>
      </c>
      <c r="F2695" s="229"/>
      <c r="G2695" s="229"/>
      <c r="H2695" s="229"/>
      <c r="I2695" s="229"/>
      <c r="J2695" s="229"/>
      <c r="K2695" s="229"/>
      <c r="L2695" s="229"/>
      <c r="M2695" s="229"/>
      <c r="N2695" s="232"/>
    </row>
    <row r="2696" hidden="1" spans="1:14">
      <c r="A2696" s="235"/>
      <c r="B2696" s="230" t="s">
        <v>1039</v>
      </c>
      <c r="C2696" s="229">
        <v>2.100948</v>
      </c>
      <c r="D2696" s="229">
        <v>2.100948</v>
      </c>
      <c r="E2696" s="229">
        <v>2.100948</v>
      </c>
      <c r="F2696" s="229"/>
      <c r="G2696" s="229"/>
      <c r="H2696" s="229"/>
      <c r="I2696" s="229"/>
      <c r="J2696" s="229"/>
      <c r="K2696" s="229"/>
      <c r="L2696" s="229"/>
      <c r="M2696" s="229"/>
      <c r="N2696" s="232"/>
    </row>
    <row r="2697" hidden="1" spans="1:14">
      <c r="A2697" s="235"/>
      <c r="B2697" s="230" t="s">
        <v>1033</v>
      </c>
      <c r="C2697" s="229">
        <v>28.526938</v>
      </c>
      <c r="D2697" s="229">
        <v>28.526938</v>
      </c>
      <c r="E2697" s="229">
        <v>28.526938</v>
      </c>
      <c r="F2697" s="229"/>
      <c r="G2697" s="229"/>
      <c r="H2697" s="229"/>
      <c r="I2697" s="229"/>
      <c r="J2697" s="229"/>
      <c r="K2697" s="229"/>
      <c r="L2697" s="229"/>
      <c r="M2697" s="229"/>
      <c r="N2697" s="232"/>
    </row>
    <row r="2698" hidden="1" spans="1:14">
      <c r="A2698" s="235"/>
      <c r="B2698" s="230" t="s">
        <v>1032</v>
      </c>
      <c r="C2698" s="229">
        <v>105.0474</v>
      </c>
      <c r="D2698" s="229">
        <v>105.0474</v>
      </c>
      <c r="E2698" s="229">
        <v>105.0474</v>
      </c>
      <c r="F2698" s="229"/>
      <c r="G2698" s="229"/>
      <c r="H2698" s="229"/>
      <c r="I2698" s="229"/>
      <c r="J2698" s="229"/>
      <c r="K2698" s="229"/>
      <c r="L2698" s="229"/>
      <c r="M2698" s="229"/>
      <c r="N2698" s="232"/>
    </row>
    <row r="2699" hidden="1" spans="1:14">
      <c r="A2699" s="235"/>
      <c r="B2699" s="230" t="s">
        <v>1036</v>
      </c>
      <c r="C2699" s="229">
        <v>12.605688</v>
      </c>
      <c r="D2699" s="229">
        <v>12.605688</v>
      </c>
      <c r="E2699" s="229">
        <v>12.605688</v>
      </c>
      <c r="F2699" s="229"/>
      <c r="G2699" s="229"/>
      <c r="H2699" s="229"/>
      <c r="I2699" s="229"/>
      <c r="J2699" s="229"/>
      <c r="K2699" s="229"/>
      <c r="L2699" s="229"/>
      <c r="M2699" s="229"/>
      <c r="N2699" s="232"/>
    </row>
    <row r="2700" hidden="1" spans="1:14">
      <c r="A2700" s="209">
        <v>821004</v>
      </c>
      <c r="B2700" s="230" t="s">
        <v>1002</v>
      </c>
      <c r="C2700" s="229">
        <v>376.780947</v>
      </c>
      <c r="D2700" s="229">
        <v>376.780947</v>
      </c>
      <c r="E2700" s="229">
        <v>376.780947</v>
      </c>
      <c r="F2700" s="229"/>
      <c r="G2700" s="229"/>
      <c r="H2700" s="229"/>
      <c r="I2700" s="229"/>
      <c r="J2700" s="229"/>
      <c r="K2700" s="229"/>
      <c r="L2700" s="229"/>
      <c r="M2700" s="229"/>
      <c r="N2700" s="233"/>
    </row>
    <row r="2701" hidden="1" spans="1:14">
      <c r="A2701" s="235"/>
      <c r="B2701" s="230" t="s">
        <v>1033</v>
      </c>
      <c r="C2701" s="229">
        <v>66.586195</v>
      </c>
      <c r="D2701" s="229">
        <v>66.586195</v>
      </c>
      <c r="E2701" s="229">
        <v>66.586195</v>
      </c>
      <c r="F2701" s="229"/>
      <c r="G2701" s="229"/>
      <c r="H2701" s="229"/>
      <c r="I2701" s="229"/>
      <c r="J2701" s="229"/>
      <c r="K2701" s="229"/>
      <c r="L2701" s="229"/>
      <c r="M2701" s="229"/>
      <c r="N2701" s="232"/>
    </row>
    <row r="2702" hidden="1" spans="1:14">
      <c r="A2702" s="235"/>
      <c r="B2702" s="230" t="s">
        <v>1032</v>
      </c>
      <c r="C2702" s="229">
        <v>246.4568</v>
      </c>
      <c r="D2702" s="229">
        <v>246.4568</v>
      </c>
      <c r="E2702" s="229">
        <v>246.4568</v>
      </c>
      <c r="F2702" s="229"/>
      <c r="G2702" s="229"/>
      <c r="H2702" s="229"/>
      <c r="I2702" s="229"/>
      <c r="J2702" s="229"/>
      <c r="K2702" s="229"/>
      <c r="L2702" s="229"/>
      <c r="M2702" s="229"/>
      <c r="N2702" s="232"/>
    </row>
    <row r="2703" hidden="1" spans="1:14">
      <c r="A2703" s="235"/>
      <c r="B2703" s="230" t="s">
        <v>1036</v>
      </c>
      <c r="C2703" s="229">
        <v>29.574816</v>
      </c>
      <c r="D2703" s="229">
        <v>29.574816</v>
      </c>
      <c r="E2703" s="229">
        <v>29.574816</v>
      </c>
      <c r="F2703" s="229"/>
      <c r="G2703" s="229"/>
      <c r="H2703" s="229"/>
      <c r="I2703" s="229"/>
      <c r="J2703" s="229"/>
      <c r="K2703" s="229"/>
      <c r="L2703" s="229"/>
      <c r="M2703" s="229"/>
      <c r="N2703" s="232"/>
    </row>
    <row r="2704" hidden="1" spans="1:14">
      <c r="A2704" s="235"/>
      <c r="B2704" s="230" t="s">
        <v>1031</v>
      </c>
      <c r="C2704" s="229">
        <v>2.76</v>
      </c>
      <c r="D2704" s="229">
        <v>2.76</v>
      </c>
      <c r="E2704" s="229">
        <v>2.76</v>
      </c>
      <c r="F2704" s="229"/>
      <c r="G2704" s="229"/>
      <c r="H2704" s="229"/>
      <c r="I2704" s="229"/>
      <c r="J2704" s="229"/>
      <c r="K2704" s="229"/>
      <c r="L2704" s="229"/>
      <c r="M2704" s="229"/>
      <c r="N2704" s="232"/>
    </row>
    <row r="2705" hidden="1" spans="1:14">
      <c r="A2705" s="235"/>
      <c r="B2705" s="230" t="s">
        <v>1029</v>
      </c>
      <c r="C2705" s="229">
        <v>26.474</v>
      </c>
      <c r="D2705" s="229">
        <v>26.474</v>
      </c>
      <c r="E2705" s="229">
        <v>26.474</v>
      </c>
      <c r="F2705" s="229"/>
      <c r="G2705" s="229"/>
      <c r="H2705" s="229"/>
      <c r="I2705" s="229"/>
      <c r="J2705" s="229"/>
      <c r="K2705" s="229"/>
      <c r="L2705" s="229"/>
      <c r="M2705" s="229"/>
      <c r="N2705" s="232"/>
    </row>
    <row r="2706" hidden="1" spans="1:14">
      <c r="A2706" s="235"/>
      <c r="B2706" s="230" t="s">
        <v>1039</v>
      </c>
      <c r="C2706" s="229">
        <v>4.929136</v>
      </c>
      <c r="D2706" s="229">
        <v>4.929136</v>
      </c>
      <c r="E2706" s="229">
        <v>4.929136</v>
      </c>
      <c r="F2706" s="229"/>
      <c r="G2706" s="229"/>
      <c r="H2706" s="229"/>
      <c r="I2706" s="229"/>
      <c r="J2706" s="229"/>
      <c r="K2706" s="229"/>
      <c r="L2706" s="229"/>
      <c r="M2706" s="229"/>
      <c r="N2706" s="232"/>
    </row>
  </sheetData>
  <sheetProtection password="C70D" sheet="1" objects="1"/>
  <autoFilter ref="A5:N2706">
    <filterColumn colId="13">
      <customFilters>
        <customFilter operator="equal" val="是"/>
      </customFilters>
    </filterColumn>
    <extLst/>
  </autoFilter>
  <mergeCells count="7">
    <mergeCell ref="A2:M2"/>
    <mergeCell ref="D4:F4"/>
    <mergeCell ref="H4:M4"/>
    <mergeCell ref="A4:A5"/>
    <mergeCell ref="B4:B5"/>
    <mergeCell ref="C4:C5"/>
    <mergeCell ref="G4:G5"/>
  </mergeCells>
  <printOptions horizontalCentered="1"/>
  <pageMargins left="0.786805555555556" right="0.590277777777778" top="0.984027777777778" bottom="0.590277777777778" header="0.313888888888889" footer="0.313888888888889"/>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outlinePr summaryBelow="0" summaryRight="0"/>
  </sheetPr>
  <dimension ref="A1:N1312"/>
  <sheetViews>
    <sheetView showZeros="0" view="pageBreakPreview" zoomScaleNormal="100" workbookViewId="0">
      <pane xSplit="2" ySplit="5" topLeftCell="C8" activePane="bottomRight" state="frozen"/>
      <selection/>
      <selection pane="topRight"/>
      <selection pane="bottomLeft"/>
      <selection pane="bottomRight" activeCell="N1" sqref="N$1:N$1048576"/>
    </sheetView>
  </sheetViews>
  <sheetFormatPr defaultColWidth="9" defaultRowHeight="16.5"/>
  <cols>
    <col min="1" max="1" width="6.125" style="191" customWidth="1"/>
    <col min="2" max="2" width="33.625" style="192" customWidth="1"/>
    <col min="3" max="5" width="8.375" style="162" customWidth="1"/>
    <col min="6" max="6" width="7.625" style="162" customWidth="1"/>
    <col min="7" max="7" width="8.625" style="162" customWidth="1"/>
    <col min="8" max="9" width="7.625" style="162" customWidth="1"/>
    <col min="10" max="10" width="7.125" style="162" customWidth="1"/>
    <col min="11" max="12" width="8.625" style="162" customWidth="1"/>
    <col min="13" max="13" width="6.625" style="162" customWidth="1"/>
    <col min="14" max="14" width="9" style="162" hidden="1" customWidth="1"/>
    <col min="15" max="15" width="20.5" style="162" customWidth="1"/>
    <col min="16" max="16384" width="9" style="162"/>
  </cols>
  <sheetData>
    <row r="1" s="157" customFormat="1" ht="20.1" customHeight="1" spans="1:2">
      <c r="A1" s="193" t="s">
        <v>28</v>
      </c>
      <c r="B1" s="194"/>
    </row>
    <row r="2" s="158" customFormat="1" ht="34" customHeight="1" spans="1:13">
      <c r="A2" s="195" t="s">
        <v>1163</v>
      </c>
      <c r="B2" s="195"/>
      <c r="C2" s="195"/>
      <c r="D2" s="195"/>
      <c r="E2" s="195"/>
      <c r="F2" s="195"/>
      <c r="G2" s="195"/>
      <c r="H2" s="195"/>
      <c r="I2" s="195"/>
      <c r="J2" s="195"/>
      <c r="K2" s="195"/>
      <c r="L2" s="195"/>
      <c r="M2" s="195"/>
    </row>
    <row r="3" s="159" customFormat="1" ht="16" customHeight="1" spans="1:13">
      <c r="A3" s="196"/>
      <c r="B3" s="197"/>
      <c r="M3" s="212" t="s">
        <v>45</v>
      </c>
    </row>
    <row r="4" s="190" customFormat="1" ht="20.1" customHeight="1" spans="1:13">
      <c r="A4" s="198" t="s">
        <v>1164</v>
      </c>
      <c r="B4" s="199" t="s">
        <v>1020</v>
      </c>
      <c r="C4" s="200" t="s">
        <v>562</v>
      </c>
      <c r="D4" s="200" t="s">
        <v>563</v>
      </c>
      <c r="E4" s="200"/>
      <c r="F4" s="200"/>
      <c r="G4" s="200" t="s">
        <v>1021</v>
      </c>
      <c r="H4" s="200" t="s">
        <v>565</v>
      </c>
      <c r="I4" s="200"/>
      <c r="J4" s="200"/>
      <c r="K4" s="200"/>
      <c r="L4" s="200"/>
      <c r="M4" s="200"/>
    </row>
    <row r="5" s="190" customFormat="1" ht="30" customHeight="1" spans="1:14">
      <c r="A5" s="198"/>
      <c r="B5" s="201"/>
      <c r="C5" s="202"/>
      <c r="D5" s="200" t="s">
        <v>568</v>
      </c>
      <c r="E5" s="200" t="s">
        <v>1165</v>
      </c>
      <c r="F5" s="200" t="s">
        <v>1023</v>
      </c>
      <c r="G5" s="202"/>
      <c r="H5" s="200" t="s">
        <v>568</v>
      </c>
      <c r="I5" s="200" t="s">
        <v>569</v>
      </c>
      <c r="J5" s="200" t="s">
        <v>1024</v>
      </c>
      <c r="K5" s="200" t="s">
        <v>1025</v>
      </c>
      <c r="L5" s="200" t="s">
        <v>1026</v>
      </c>
      <c r="M5" s="200" t="s">
        <v>573</v>
      </c>
      <c r="N5" s="190" t="s">
        <v>577</v>
      </c>
    </row>
    <row r="6" ht="18" customHeight="1" spans="1:14">
      <c r="A6" s="203"/>
      <c r="B6" s="204" t="s">
        <v>562</v>
      </c>
      <c r="C6" s="205">
        <f t="shared" ref="C6:M6" si="0">SUM(C7,C150,C199,C433,C595,C630,C659,C775,C797,C1220,C1311,C1312,)</f>
        <v>483599.110573</v>
      </c>
      <c r="D6" s="205">
        <f t="shared" si="0"/>
        <v>466288.850573</v>
      </c>
      <c r="E6" s="205">
        <f t="shared" si="0"/>
        <v>413002.257769</v>
      </c>
      <c r="F6" s="205">
        <f t="shared" si="0"/>
        <v>53286.592804</v>
      </c>
      <c r="G6" s="205">
        <f t="shared" si="0"/>
        <v>350</v>
      </c>
      <c r="H6" s="205">
        <f t="shared" si="0"/>
        <v>16960.26</v>
      </c>
      <c r="I6" s="205">
        <f t="shared" si="0"/>
        <v>16745.32</v>
      </c>
      <c r="J6" s="205">
        <f t="shared" si="0"/>
        <v>0</v>
      </c>
      <c r="K6" s="205">
        <f t="shared" si="0"/>
        <v>0</v>
      </c>
      <c r="L6" s="205">
        <f t="shared" si="0"/>
        <v>0</v>
      </c>
      <c r="M6" s="205">
        <f t="shared" si="0"/>
        <v>214.94</v>
      </c>
      <c r="N6" s="213" t="s">
        <v>578</v>
      </c>
    </row>
    <row r="7" ht="18" customHeight="1" spans="1:14">
      <c r="A7" s="206"/>
      <c r="B7" s="204" t="s">
        <v>579</v>
      </c>
      <c r="C7" s="205">
        <v>19483.8</v>
      </c>
      <c r="D7" s="205">
        <v>19483.8</v>
      </c>
      <c r="E7" s="205">
        <v>19483.8</v>
      </c>
      <c r="F7" s="205"/>
      <c r="G7" s="205"/>
      <c r="H7" s="205"/>
      <c r="I7" s="205"/>
      <c r="J7" s="205"/>
      <c r="K7" s="205"/>
      <c r="L7" s="205"/>
      <c r="M7" s="205"/>
      <c r="N7" s="213" t="s">
        <v>578</v>
      </c>
    </row>
    <row r="8" ht="18" customHeight="1" spans="1:14">
      <c r="A8" s="393" t="s">
        <v>580</v>
      </c>
      <c r="B8" s="208" t="s">
        <v>1166</v>
      </c>
      <c r="C8" s="205">
        <v>231.5</v>
      </c>
      <c r="D8" s="205">
        <f t="shared" ref="D8:D71" si="1">E8+F8</f>
        <v>231.5</v>
      </c>
      <c r="E8" s="205">
        <v>231.5</v>
      </c>
      <c r="F8" s="205"/>
      <c r="G8" s="205"/>
      <c r="H8" s="205"/>
      <c r="I8" s="205"/>
      <c r="J8" s="205"/>
      <c r="K8" s="205"/>
      <c r="L8" s="205"/>
      <c r="M8" s="205"/>
      <c r="N8" s="213" t="s">
        <v>578</v>
      </c>
    </row>
    <row r="9" ht="18" customHeight="1" spans="1:14">
      <c r="A9" s="209"/>
      <c r="B9" s="210" t="s">
        <v>1167</v>
      </c>
      <c r="C9" s="211">
        <v>38.5</v>
      </c>
      <c r="D9" s="211">
        <f t="shared" si="1"/>
        <v>38.5</v>
      </c>
      <c r="E9" s="211">
        <v>38.5</v>
      </c>
      <c r="F9" s="211"/>
      <c r="G9" s="211"/>
      <c r="H9" s="211"/>
      <c r="I9" s="211"/>
      <c r="J9" s="211"/>
      <c r="K9" s="211"/>
      <c r="L9" s="211"/>
      <c r="M9" s="211"/>
      <c r="N9" s="213" t="s">
        <v>578</v>
      </c>
    </row>
    <row r="10" ht="18" customHeight="1" spans="1:14">
      <c r="A10" s="209"/>
      <c r="B10" s="210" t="s">
        <v>1168</v>
      </c>
      <c r="C10" s="211">
        <v>70</v>
      </c>
      <c r="D10" s="211">
        <f t="shared" si="1"/>
        <v>70</v>
      </c>
      <c r="E10" s="211">
        <v>70</v>
      </c>
      <c r="F10" s="211"/>
      <c r="G10" s="211"/>
      <c r="H10" s="211"/>
      <c r="I10" s="211"/>
      <c r="J10" s="211"/>
      <c r="K10" s="211"/>
      <c r="L10" s="211"/>
      <c r="M10" s="211"/>
      <c r="N10" s="213" t="s">
        <v>578</v>
      </c>
    </row>
    <row r="11" ht="18" customHeight="1" spans="1:14">
      <c r="A11" s="209"/>
      <c r="B11" s="210" t="s">
        <v>1169</v>
      </c>
      <c r="C11" s="211">
        <v>20</v>
      </c>
      <c r="D11" s="211">
        <f t="shared" si="1"/>
        <v>20</v>
      </c>
      <c r="E11" s="211">
        <v>20</v>
      </c>
      <c r="F11" s="211"/>
      <c r="G11" s="211"/>
      <c r="H11" s="211"/>
      <c r="I11" s="211"/>
      <c r="J11" s="211"/>
      <c r="K11" s="211"/>
      <c r="L11" s="211"/>
      <c r="M11" s="211"/>
      <c r="N11" s="213" t="s">
        <v>578</v>
      </c>
    </row>
    <row r="12" ht="18" customHeight="1" spans="1:14">
      <c r="A12" s="209"/>
      <c r="B12" s="210" t="s">
        <v>1170</v>
      </c>
      <c r="C12" s="211">
        <v>53</v>
      </c>
      <c r="D12" s="211">
        <f t="shared" si="1"/>
        <v>53</v>
      </c>
      <c r="E12" s="211">
        <v>53</v>
      </c>
      <c r="F12" s="211"/>
      <c r="G12" s="211"/>
      <c r="H12" s="211"/>
      <c r="I12" s="211"/>
      <c r="J12" s="211"/>
      <c r="K12" s="211"/>
      <c r="L12" s="211"/>
      <c r="M12" s="211"/>
      <c r="N12" s="213" t="s">
        <v>578</v>
      </c>
    </row>
    <row r="13" ht="18" customHeight="1" spans="1:14">
      <c r="A13" s="209"/>
      <c r="B13" s="210" t="s">
        <v>1171</v>
      </c>
      <c r="C13" s="211">
        <v>50</v>
      </c>
      <c r="D13" s="211">
        <f t="shared" si="1"/>
        <v>50</v>
      </c>
      <c r="E13" s="211">
        <v>50</v>
      </c>
      <c r="F13" s="211"/>
      <c r="G13" s="211"/>
      <c r="H13" s="211"/>
      <c r="I13" s="211"/>
      <c r="J13" s="211"/>
      <c r="K13" s="211"/>
      <c r="L13" s="211"/>
      <c r="M13" s="211"/>
      <c r="N13" s="213" t="s">
        <v>578</v>
      </c>
    </row>
    <row r="14" ht="18" customHeight="1" spans="1:14">
      <c r="A14" s="393" t="s">
        <v>582</v>
      </c>
      <c r="B14" s="208" t="s">
        <v>1172</v>
      </c>
      <c r="C14" s="205">
        <v>92.88</v>
      </c>
      <c r="D14" s="205">
        <f t="shared" si="1"/>
        <v>92.88</v>
      </c>
      <c r="E14" s="205">
        <v>92.88</v>
      </c>
      <c r="F14" s="205"/>
      <c r="G14" s="205"/>
      <c r="H14" s="205"/>
      <c r="I14" s="205"/>
      <c r="J14" s="205"/>
      <c r="K14" s="205"/>
      <c r="L14" s="205"/>
      <c r="M14" s="205"/>
      <c r="N14" s="213" t="s">
        <v>578</v>
      </c>
    </row>
    <row r="15" ht="18" customHeight="1" spans="1:14">
      <c r="A15" s="207"/>
      <c r="B15" s="210" t="s">
        <v>1173</v>
      </c>
      <c r="C15" s="211">
        <v>17</v>
      </c>
      <c r="D15" s="211">
        <f t="shared" si="1"/>
        <v>17</v>
      </c>
      <c r="E15" s="211">
        <v>17</v>
      </c>
      <c r="F15" s="211"/>
      <c r="G15" s="211"/>
      <c r="H15" s="211"/>
      <c r="I15" s="211"/>
      <c r="J15" s="211"/>
      <c r="K15" s="211"/>
      <c r="L15" s="211"/>
      <c r="M15" s="211"/>
      <c r="N15" s="213" t="s">
        <v>578</v>
      </c>
    </row>
    <row r="16" ht="18" customHeight="1" spans="1:14">
      <c r="A16" s="207"/>
      <c r="B16" s="210" t="s">
        <v>1174</v>
      </c>
      <c r="C16" s="211">
        <v>56.08</v>
      </c>
      <c r="D16" s="211">
        <f t="shared" si="1"/>
        <v>56.08</v>
      </c>
      <c r="E16" s="211">
        <v>56.08</v>
      </c>
      <c r="F16" s="211"/>
      <c r="G16" s="211"/>
      <c r="H16" s="211"/>
      <c r="I16" s="211"/>
      <c r="J16" s="211"/>
      <c r="K16" s="211"/>
      <c r="L16" s="211"/>
      <c r="M16" s="211"/>
      <c r="N16" s="213" t="s">
        <v>578</v>
      </c>
    </row>
    <row r="17" ht="18" customHeight="1" spans="1:14">
      <c r="A17" s="207"/>
      <c r="B17" s="210" t="s">
        <v>1175</v>
      </c>
      <c r="C17" s="211">
        <v>19.8</v>
      </c>
      <c r="D17" s="211">
        <f t="shared" si="1"/>
        <v>19.8</v>
      </c>
      <c r="E17" s="211">
        <v>19.8</v>
      </c>
      <c r="F17" s="211"/>
      <c r="G17" s="211"/>
      <c r="H17" s="211"/>
      <c r="I17" s="211"/>
      <c r="J17" s="211"/>
      <c r="K17" s="211"/>
      <c r="L17" s="211"/>
      <c r="M17" s="211"/>
      <c r="N17" s="213" t="s">
        <v>578</v>
      </c>
    </row>
    <row r="18" ht="18" customHeight="1" spans="1:14">
      <c r="A18" s="393" t="s">
        <v>584</v>
      </c>
      <c r="B18" s="208" t="s">
        <v>585</v>
      </c>
      <c r="C18" s="205">
        <v>294</v>
      </c>
      <c r="D18" s="205">
        <f t="shared" si="1"/>
        <v>294</v>
      </c>
      <c r="E18" s="205">
        <v>294</v>
      </c>
      <c r="F18" s="205"/>
      <c r="G18" s="205"/>
      <c r="H18" s="205"/>
      <c r="I18" s="205"/>
      <c r="J18" s="205"/>
      <c r="K18" s="205"/>
      <c r="L18" s="205"/>
      <c r="M18" s="205"/>
      <c r="N18" s="213" t="s">
        <v>578</v>
      </c>
    </row>
    <row r="19" ht="18" customHeight="1" spans="1:14">
      <c r="A19" s="207"/>
      <c r="B19" s="210" t="s">
        <v>1176</v>
      </c>
      <c r="C19" s="211">
        <v>34</v>
      </c>
      <c r="D19" s="211">
        <f t="shared" si="1"/>
        <v>34</v>
      </c>
      <c r="E19" s="211">
        <v>34</v>
      </c>
      <c r="F19" s="211"/>
      <c r="G19" s="211"/>
      <c r="H19" s="211"/>
      <c r="I19" s="211"/>
      <c r="J19" s="211"/>
      <c r="K19" s="211"/>
      <c r="L19" s="211"/>
      <c r="M19" s="211"/>
      <c r="N19" s="213" t="s">
        <v>578</v>
      </c>
    </row>
    <row r="20" ht="18" customHeight="1" spans="1:14">
      <c r="A20" s="207"/>
      <c r="B20" s="210" t="s">
        <v>1177</v>
      </c>
      <c r="C20" s="211">
        <v>70</v>
      </c>
      <c r="D20" s="211">
        <f t="shared" si="1"/>
        <v>70</v>
      </c>
      <c r="E20" s="211">
        <v>70</v>
      </c>
      <c r="F20" s="211"/>
      <c r="G20" s="211"/>
      <c r="H20" s="211"/>
      <c r="I20" s="211"/>
      <c r="J20" s="211"/>
      <c r="K20" s="211"/>
      <c r="L20" s="211"/>
      <c r="M20" s="211"/>
      <c r="N20" s="213" t="s">
        <v>578</v>
      </c>
    </row>
    <row r="21" ht="18" customHeight="1" spans="1:14">
      <c r="A21" s="207"/>
      <c r="B21" s="210" t="s">
        <v>1178</v>
      </c>
      <c r="C21" s="211">
        <v>190</v>
      </c>
      <c r="D21" s="211">
        <f t="shared" si="1"/>
        <v>190</v>
      </c>
      <c r="E21" s="211">
        <v>190</v>
      </c>
      <c r="F21" s="211"/>
      <c r="G21" s="211"/>
      <c r="H21" s="211"/>
      <c r="I21" s="211"/>
      <c r="J21" s="211"/>
      <c r="K21" s="211"/>
      <c r="L21" s="211"/>
      <c r="M21" s="211"/>
      <c r="N21" s="213" t="s">
        <v>578</v>
      </c>
    </row>
    <row r="22" ht="18" customHeight="1" spans="1:14">
      <c r="A22" s="393" t="s">
        <v>586</v>
      </c>
      <c r="B22" s="208" t="s">
        <v>1179</v>
      </c>
      <c r="C22" s="205">
        <v>284.11</v>
      </c>
      <c r="D22" s="205">
        <f t="shared" si="1"/>
        <v>284.11</v>
      </c>
      <c r="E22" s="205">
        <v>284.11</v>
      </c>
      <c r="F22" s="205"/>
      <c r="G22" s="205"/>
      <c r="H22" s="205"/>
      <c r="I22" s="205"/>
      <c r="J22" s="205"/>
      <c r="K22" s="205"/>
      <c r="L22" s="205"/>
      <c r="M22" s="205"/>
      <c r="N22" s="213" t="s">
        <v>578</v>
      </c>
    </row>
    <row r="23" ht="18" customHeight="1" spans="1:14">
      <c r="A23" s="207"/>
      <c r="B23" s="210" t="s">
        <v>1180</v>
      </c>
      <c r="C23" s="211">
        <v>50</v>
      </c>
      <c r="D23" s="211">
        <f t="shared" si="1"/>
        <v>50</v>
      </c>
      <c r="E23" s="211">
        <v>50</v>
      </c>
      <c r="F23" s="211"/>
      <c r="G23" s="211"/>
      <c r="H23" s="211"/>
      <c r="I23" s="211"/>
      <c r="J23" s="211"/>
      <c r="K23" s="211"/>
      <c r="L23" s="211"/>
      <c r="M23" s="211"/>
      <c r="N23" s="213" t="s">
        <v>578</v>
      </c>
    </row>
    <row r="24" ht="18" customHeight="1" spans="1:14">
      <c r="A24" s="207"/>
      <c r="B24" s="210" t="s">
        <v>1181</v>
      </c>
      <c r="C24" s="211">
        <v>55.55</v>
      </c>
      <c r="D24" s="211">
        <f t="shared" si="1"/>
        <v>55.55</v>
      </c>
      <c r="E24" s="211">
        <v>55.55</v>
      </c>
      <c r="F24" s="211"/>
      <c r="G24" s="211"/>
      <c r="H24" s="211"/>
      <c r="I24" s="211"/>
      <c r="J24" s="211"/>
      <c r="K24" s="211"/>
      <c r="L24" s="211"/>
      <c r="M24" s="211"/>
      <c r="N24" s="213" t="s">
        <v>578</v>
      </c>
    </row>
    <row r="25" ht="18" customHeight="1" spans="1:14">
      <c r="A25" s="207"/>
      <c r="B25" s="210" t="s">
        <v>1182</v>
      </c>
      <c r="C25" s="211">
        <v>25</v>
      </c>
      <c r="D25" s="211">
        <f t="shared" si="1"/>
        <v>25</v>
      </c>
      <c r="E25" s="211">
        <v>25</v>
      </c>
      <c r="F25" s="211"/>
      <c r="G25" s="211"/>
      <c r="H25" s="211"/>
      <c r="I25" s="211"/>
      <c r="J25" s="211"/>
      <c r="K25" s="211"/>
      <c r="L25" s="211"/>
      <c r="M25" s="211"/>
      <c r="N25" s="213" t="s">
        <v>578</v>
      </c>
    </row>
    <row r="26" ht="18" customHeight="1" spans="1:14">
      <c r="A26" s="207"/>
      <c r="B26" s="210" t="s">
        <v>1183</v>
      </c>
      <c r="C26" s="211">
        <v>33</v>
      </c>
      <c r="D26" s="211">
        <f t="shared" si="1"/>
        <v>33</v>
      </c>
      <c r="E26" s="211">
        <v>33</v>
      </c>
      <c r="F26" s="211"/>
      <c r="G26" s="211"/>
      <c r="H26" s="211"/>
      <c r="I26" s="211"/>
      <c r="J26" s="211"/>
      <c r="K26" s="211"/>
      <c r="L26" s="211"/>
      <c r="M26" s="211"/>
      <c r="N26" s="213" t="s">
        <v>578</v>
      </c>
    </row>
    <row r="27" ht="18" customHeight="1" spans="1:14">
      <c r="A27" s="207"/>
      <c r="B27" s="210" t="s">
        <v>1184</v>
      </c>
      <c r="C27" s="211">
        <v>17.56</v>
      </c>
      <c r="D27" s="211">
        <f t="shared" si="1"/>
        <v>17.56</v>
      </c>
      <c r="E27" s="211">
        <v>17.56</v>
      </c>
      <c r="F27" s="211"/>
      <c r="G27" s="211"/>
      <c r="H27" s="211"/>
      <c r="I27" s="211"/>
      <c r="J27" s="211"/>
      <c r="K27" s="211"/>
      <c r="L27" s="211"/>
      <c r="M27" s="211"/>
      <c r="N27" s="213" t="s">
        <v>578</v>
      </c>
    </row>
    <row r="28" ht="18" customHeight="1" spans="1:14">
      <c r="A28" s="207"/>
      <c r="B28" s="210" t="s">
        <v>1185</v>
      </c>
      <c r="C28" s="211">
        <v>10.75</v>
      </c>
      <c r="D28" s="211">
        <f t="shared" si="1"/>
        <v>10.75</v>
      </c>
      <c r="E28" s="211">
        <v>10.75</v>
      </c>
      <c r="F28" s="211"/>
      <c r="G28" s="211"/>
      <c r="H28" s="211"/>
      <c r="I28" s="211"/>
      <c r="J28" s="211"/>
      <c r="K28" s="211"/>
      <c r="L28" s="211"/>
      <c r="M28" s="211"/>
      <c r="N28" s="213" t="s">
        <v>578</v>
      </c>
    </row>
    <row r="29" ht="18" customHeight="1" spans="1:14">
      <c r="A29" s="207"/>
      <c r="B29" s="210" t="s">
        <v>1186</v>
      </c>
      <c r="C29" s="211">
        <v>50</v>
      </c>
      <c r="D29" s="211">
        <f t="shared" si="1"/>
        <v>50</v>
      </c>
      <c r="E29" s="211">
        <v>50</v>
      </c>
      <c r="F29" s="211"/>
      <c r="G29" s="211"/>
      <c r="H29" s="211"/>
      <c r="I29" s="211"/>
      <c r="J29" s="211"/>
      <c r="K29" s="211"/>
      <c r="L29" s="211"/>
      <c r="M29" s="211"/>
      <c r="N29" s="213" t="s">
        <v>578</v>
      </c>
    </row>
    <row r="30" ht="18" customHeight="1" spans="1:14">
      <c r="A30" s="207"/>
      <c r="B30" s="210" t="s">
        <v>1187</v>
      </c>
      <c r="C30" s="211">
        <v>42.25</v>
      </c>
      <c r="D30" s="211">
        <f t="shared" si="1"/>
        <v>42.25</v>
      </c>
      <c r="E30" s="211">
        <v>42.25</v>
      </c>
      <c r="F30" s="211"/>
      <c r="G30" s="211"/>
      <c r="H30" s="211"/>
      <c r="I30" s="211"/>
      <c r="J30" s="211"/>
      <c r="K30" s="211"/>
      <c r="L30" s="211"/>
      <c r="M30" s="211"/>
      <c r="N30" s="213" t="s">
        <v>578</v>
      </c>
    </row>
    <row r="31" ht="18" customHeight="1" spans="1:14">
      <c r="A31" s="393" t="s">
        <v>588</v>
      </c>
      <c r="B31" s="204" t="s">
        <v>1188</v>
      </c>
      <c r="C31" s="205">
        <v>1300</v>
      </c>
      <c r="D31" s="205">
        <f t="shared" si="1"/>
        <v>1300</v>
      </c>
      <c r="E31" s="205">
        <v>1300</v>
      </c>
      <c r="F31" s="205"/>
      <c r="G31" s="205"/>
      <c r="H31" s="205"/>
      <c r="I31" s="205"/>
      <c r="J31" s="205"/>
      <c r="K31" s="205"/>
      <c r="L31" s="205"/>
      <c r="M31" s="205"/>
      <c r="N31" s="213" t="s">
        <v>578</v>
      </c>
    </row>
    <row r="32" ht="18" customHeight="1" spans="1:14">
      <c r="A32" s="207"/>
      <c r="B32" s="210" t="s">
        <v>1189</v>
      </c>
      <c r="C32" s="211">
        <v>1000</v>
      </c>
      <c r="D32" s="211">
        <f t="shared" si="1"/>
        <v>1000</v>
      </c>
      <c r="E32" s="211">
        <v>1000</v>
      </c>
      <c r="F32" s="211"/>
      <c r="G32" s="211"/>
      <c r="H32" s="211"/>
      <c r="I32" s="211"/>
      <c r="J32" s="211"/>
      <c r="K32" s="211"/>
      <c r="L32" s="211"/>
      <c r="M32" s="211"/>
      <c r="N32" s="213" t="s">
        <v>578</v>
      </c>
    </row>
    <row r="33" ht="18" customHeight="1" spans="1:14">
      <c r="A33" s="207"/>
      <c r="B33" s="210" t="s">
        <v>1190</v>
      </c>
      <c r="C33" s="211">
        <v>300</v>
      </c>
      <c r="D33" s="211">
        <f t="shared" si="1"/>
        <v>300</v>
      </c>
      <c r="E33" s="211">
        <v>300</v>
      </c>
      <c r="F33" s="211"/>
      <c r="G33" s="211"/>
      <c r="H33" s="211"/>
      <c r="I33" s="211"/>
      <c r="J33" s="211"/>
      <c r="K33" s="211"/>
      <c r="L33" s="211"/>
      <c r="M33" s="211"/>
      <c r="N33" s="213" t="s">
        <v>578</v>
      </c>
    </row>
    <row r="34" ht="18" customHeight="1" spans="1:14">
      <c r="A34" s="393" t="s">
        <v>590</v>
      </c>
      <c r="B34" s="208" t="s">
        <v>1191</v>
      </c>
      <c r="C34" s="205">
        <v>473.1</v>
      </c>
      <c r="D34" s="205">
        <f t="shared" si="1"/>
        <v>473.1</v>
      </c>
      <c r="E34" s="205">
        <v>473.1</v>
      </c>
      <c r="F34" s="205"/>
      <c r="G34" s="205"/>
      <c r="H34" s="205"/>
      <c r="I34" s="205"/>
      <c r="J34" s="205"/>
      <c r="K34" s="205"/>
      <c r="L34" s="205"/>
      <c r="M34" s="205"/>
      <c r="N34" s="213" t="s">
        <v>578</v>
      </c>
    </row>
    <row r="35" ht="18" customHeight="1" spans="1:14">
      <c r="A35" s="207"/>
      <c r="B35" s="210" t="s">
        <v>1192</v>
      </c>
      <c r="C35" s="211">
        <v>172</v>
      </c>
      <c r="D35" s="211">
        <f t="shared" si="1"/>
        <v>172</v>
      </c>
      <c r="E35" s="211">
        <v>172</v>
      </c>
      <c r="F35" s="211"/>
      <c r="G35" s="211"/>
      <c r="H35" s="211"/>
      <c r="I35" s="211"/>
      <c r="J35" s="211"/>
      <c r="K35" s="211"/>
      <c r="L35" s="211"/>
      <c r="M35" s="211"/>
      <c r="N35" s="213" t="s">
        <v>578</v>
      </c>
    </row>
    <row r="36" ht="18" customHeight="1" spans="1:14">
      <c r="A36" s="207"/>
      <c r="B36" s="210" t="s">
        <v>1193</v>
      </c>
      <c r="C36" s="211">
        <v>13</v>
      </c>
      <c r="D36" s="211">
        <f t="shared" si="1"/>
        <v>13</v>
      </c>
      <c r="E36" s="211">
        <v>13</v>
      </c>
      <c r="F36" s="211"/>
      <c r="G36" s="211"/>
      <c r="H36" s="211"/>
      <c r="I36" s="211"/>
      <c r="J36" s="211"/>
      <c r="K36" s="211"/>
      <c r="L36" s="211"/>
      <c r="M36" s="211"/>
      <c r="N36" s="213" t="s">
        <v>578</v>
      </c>
    </row>
    <row r="37" ht="18" customHeight="1" spans="1:14">
      <c r="A37" s="207"/>
      <c r="B37" s="210" t="s">
        <v>1194</v>
      </c>
      <c r="C37" s="211">
        <v>25.6</v>
      </c>
      <c r="D37" s="211">
        <f t="shared" si="1"/>
        <v>25.6</v>
      </c>
      <c r="E37" s="211">
        <v>25.6</v>
      </c>
      <c r="F37" s="211"/>
      <c r="G37" s="211"/>
      <c r="H37" s="211"/>
      <c r="I37" s="211"/>
      <c r="J37" s="211"/>
      <c r="K37" s="211"/>
      <c r="L37" s="211"/>
      <c r="M37" s="211"/>
      <c r="N37" s="213" t="s">
        <v>578</v>
      </c>
    </row>
    <row r="38" ht="18" customHeight="1" spans="1:14">
      <c r="A38" s="207"/>
      <c r="B38" s="210" t="s">
        <v>1195</v>
      </c>
      <c r="C38" s="211">
        <v>92</v>
      </c>
      <c r="D38" s="211">
        <f t="shared" si="1"/>
        <v>92</v>
      </c>
      <c r="E38" s="211">
        <v>92</v>
      </c>
      <c r="F38" s="211"/>
      <c r="G38" s="211"/>
      <c r="H38" s="211"/>
      <c r="I38" s="211"/>
      <c r="J38" s="211"/>
      <c r="K38" s="211"/>
      <c r="L38" s="211"/>
      <c r="M38" s="211"/>
      <c r="N38" s="213" t="s">
        <v>578</v>
      </c>
    </row>
    <row r="39" ht="18" customHeight="1" spans="1:14">
      <c r="A39" s="207"/>
      <c r="B39" s="210" t="s">
        <v>1196</v>
      </c>
      <c r="C39" s="211">
        <v>24.5</v>
      </c>
      <c r="D39" s="211">
        <f t="shared" si="1"/>
        <v>24.5</v>
      </c>
      <c r="E39" s="211">
        <v>24.5</v>
      </c>
      <c r="F39" s="211"/>
      <c r="G39" s="211"/>
      <c r="H39" s="211"/>
      <c r="I39" s="211"/>
      <c r="J39" s="211"/>
      <c r="K39" s="211"/>
      <c r="L39" s="211"/>
      <c r="M39" s="211"/>
      <c r="N39" s="213" t="s">
        <v>578</v>
      </c>
    </row>
    <row r="40" ht="18" customHeight="1" spans="1:14">
      <c r="A40" s="207"/>
      <c r="B40" s="210" t="s">
        <v>1197</v>
      </c>
      <c r="C40" s="211">
        <v>10</v>
      </c>
      <c r="D40" s="211">
        <f t="shared" si="1"/>
        <v>10</v>
      </c>
      <c r="E40" s="211">
        <v>10</v>
      </c>
      <c r="F40" s="211"/>
      <c r="G40" s="211"/>
      <c r="H40" s="211"/>
      <c r="I40" s="211"/>
      <c r="J40" s="211"/>
      <c r="K40" s="211"/>
      <c r="L40" s="211"/>
      <c r="M40" s="211"/>
      <c r="N40" s="213" t="s">
        <v>578</v>
      </c>
    </row>
    <row r="41" ht="18" customHeight="1" spans="1:14">
      <c r="A41" s="207"/>
      <c r="B41" s="210" t="s">
        <v>1198</v>
      </c>
      <c r="C41" s="211">
        <v>136</v>
      </c>
      <c r="D41" s="211">
        <f t="shared" si="1"/>
        <v>136</v>
      </c>
      <c r="E41" s="211">
        <v>136</v>
      </c>
      <c r="F41" s="211"/>
      <c r="G41" s="211"/>
      <c r="H41" s="211"/>
      <c r="I41" s="211"/>
      <c r="J41" s="211"/>
      <c r="K41" s="211"/>
      <c r="L41" s="211"/>
      <c r="M41" s="211"/>
      <c r="N41" s="213" t="s">
        <v>578</v>
      </c>
    </row>
    <row r="42" ht="18" customHeight="1" spans="1:14">
      <c r="A42" s="393" t="s">
        <v>592</v>
      </c>
      <c r="B42" s="208" t="s">
        <v>593</v>
      </c>
      <c r="C42" s="205">
        <v>305</v>
      </c>
      <c r="D42" s="205">
        <f t="shared" si="1"/>
        <v>305</v>
      </c>
      <c r="E42" s="205">
        <v>305</v>
      </c>
      <c r="F42" s="205"/>
      <c r="G42" s="205"/>
      <c r="H42" s="205"/>
      <c r="I42" s="205"/>
      <c r="J42" s="205"/>
      <c r="K42" s="205"/>
      <c r="L42" s="205"/>
      <c r="M42" s="205"/>
      <c r="N42" s="213" t="s">
        <v>578</v>
      </c>
    </row>
    <row r="43" ht="18" customHeight="1" spans="1:14">
      <c r="A43" s="207"/>
      <c r="B43" s="210" t="s">
        <v>1199</v>
      </c>
      <c r="C43" s="211">
        <v>200</v>
      </c>
      <c r="D43" s="211">
        <f t="shared" si="1"/>
        <v>200</v>
      </c>
      <c r="E43" s="211">
        <v>200</v>
      </c>
      <c r="F43" s="211"/>
      <c r="G43" s="211"/>
      <c r="H43" s="211"/>
      <c r="I43" s="211"/>
      <c r="J43" s="211"/>
      <c r="K43" s="211"/>
      <c r="L43" s="211"/>
      <c r="M43" s="211"/>
      <c r="N43" s="213" t="s">
        <v>578</v>
      </c>
    </row>
    <row r="44" ht="18" customHeight="1" spans="1:14">
      <c r="A44" s="207"/>
      <c r="B44" s="210" t="s">
        <v>1200</v>
      </c>
      <c r="C44" s="211">
        <v>95</v>
      </c>
      <c r="D44" s="211">
        <f t="shared" si="1"/>
        <v>95</v>
      </c>
      <c r="E44" s="211">
        <v>95</v>
      </c>
      <c r="F44" s="211"/>
      <c r="G44" s="211"/>
      <c r="H44" s="211"/>
      <c r="I44" s="211"/>
      <c r="J44" s="211"/>
      <c r="K44" s="211"/>
      <c r="L44" s="211"/>
      <c r="M44" s="211"/>
      <c r="N44" s="213" t="s">
        <v>578</v>
      </c>
    </row>
    <row r="45" ht="18" customHeight="1" spans="1:14">
      <c r="A45" s="207"/>
      <c r="B45" s="210" t="s">
        <v>1201</v>
      </c>
      <c r="C45" s="211">
        <v>3.5</v>
      </c>
      <c r="D45" s="211">
        <f t="shared" si="1"/>
        <v>3.5</v>
      </c>
      <c r="E45" s="211">
        <v>3.5</v>
      </c>
      <c r="F45" s="211"/>
      <c r="G45" s="211"/>
      <c r="H45" s="211"/>
      <c r="I45" s="211"/>
      <c r="J45" s="211"/>
      <c r="K45" s="211"/>
      <c r="L45" s="211"/>
      <c r="M45" s="211"/>
      <c r="N45" s="213" t="s">
        <v>578</v>
      </c>
    </row>
    <row r="46" ht="18" customHeight="1" spans="1:14">
      <c r="A46" s="207"/>
      <c r="B46" s="210" t="s">
        <v>1202</v>
      </c>
      <c r="C46" s="211">
        <v>6.5</v>
      </c>
      <c r="D46" s="211">
        <f t="shared" si="1"/>
        <v>6.5</v>
      </c>
      <c r="E46" s="211">
        <v>6.5</v>
      </c>
      <c r="F46" s="211"/>
      <c r="G46" s="211"/>
      <c r="H46" s="211"/>
      <c r="I46" s="211"/>
      <c r="J46" s="211"/>
      <c r="K46" s="211"/>
      <c r="L46" s="211"/>
      <c r="M46" s="211"/>
      <c r="N46" s="213" t="s">
        <v>578</v>
      </c>
    </row>
    <row r="47" ht="18" customHeight="1" spans="1:14">
      <c r="A47" s="393" t="s">
        <v>594</v>
      </c>
      <c r="B47" s="208" t="s">
        <v>595</v>
      </c>
      <c r="C47" s="205">
        <v>79</v>
      </c>
      <c r="D47" s="205">
        <f t="shared" si="1"/>
        <v>79</v>
      </c>
      <c r="E47" s="205">
        <v>79</v>
      </c>
      <c r="F47" s="205"/>
      <c r="G47" s="205"/>
      <c r="H47" s="205"/>
      <c r="I47" s="205"/>
      <c r="J47" s="205"/>
      <c r="K47" s="205"/>
      <c r="L47" s="205"/>
      <c r="M47" s="205"/>
      <c r="N47" s="213" t="s">
        <v>578</v>
      </c>
    </row>
    <row r="48" ht="18" customHeight="1" spans="1:14">
      <c r="A48" s="207"/>
      <c r="B48" s="210" t="s">
        <v>1203</v>
      </c>
      <c r="C48" s="211">
        <v>37</v>
      </c>
      <c r="D48" s="211">
        <f t="shared" si="1"/>
        <v>37</v>
      </c>
      <c r="E48" s="211">
        <v>37</v>
      </c>
      <c r="F48" s="211"/>
      <c r="G48" s="211"/>
      <c r="H48" s="211"/>
      <c r="I48" s="211"/>
      <c r="J48" s="211"/>
      <c r="K48" s="211"/>
      <c r="L48" s="211"/>
      <c r="M48" s="211"/>
      <c r="N48" s="213" t="s">
        <v>578</v>
      </c>
    </row>
    <row r="49" ht="18" customHeight="1" spans="1:14">
      <c r="A49" s="207"/>
      <c r="B49" s="210" t="s">
        <v>1204</v>
      </c>
      <c r="C49" s="211">
        <v>42</v>
      </c>
      <c r="D49" s="211">
        <f t="shared" si="1"/>
        <v>42</v>
      </c>
      <c r="E49" s="211">
        <v>42</v>
      </c>
      <c r="F49" s="211"/>
      <c r="G49" s="211"/>
      <c r="H49" s="211"/>
      <c r="I49" s="211"/>
      <c r="J49" s="211"/>
      <c r="K49" s="211"/>
      <c r="L49" s="211"/>
      <c r="M49" s="211"/>
      <c r="N49" s="213" t="s">
        <v>578</v>
      </c>
    </row>
    <row r="50" ht="18" customHeight="1" spans="1:14">
      <c r="A50" s="393" t="s">
        <v>596</v>
      </c>
      <c r="B50" s="208" t="s">
        <v>597</v>
      </c>
      <c r="C50" s="205">
        <v>169</v>
      </c>
      <c r="D50" s="205">
        <f t="shared" si="1"/>
        <v>169</v>
      </c>
      <c r="E50" s="205">
        <v>169</v>
      </c>
      <c r="F50" s="205"/>
      <c r="G50" s="205"/>
      <c r="H50" s="205"/>
      <c r="I50" s="205"/>
      <c r="J50" s="205"/>
      <c r="K50" s="205"/>
      <c r="L50" s="205"/>
      <c r="M50" s="205"/>
      <c r="N50" s="213" t="s">
        <v>578</v>
      </c>
    </row>
    <row r="51" ht="18" customHeight="1" spans="1:14">
      <c r="A51" s="207"/>
      <c r="B51" s="210" t="s">
        <v>1205</v>
      </c>
      <c r="C51" s="211">
        <v>148</v>
      </c>
      <c r="D51" s="211">
        <f t="shared" si="1"/>
        <v>148</v>
      </c>
      <c r="E51" s="211">
        <v>148</v>
      </c>
      <c r="F51" s="211"/>
      <c r="G51" s="211"/>
      <c r="H51" s="211"/>
      <c r="I51" s="211"/>
      <c r="J51" s="211"/>
      <c r="K51" s="211"/>
      <c r="L51" s="211"/>
      <c r="M51" s="211"/>
      <c r="N51" s="213" t="s">
        <v>578</v>
      </c>
    </row>
    <row r="52" ht="18" customHeight="1" spans="1:14">
      <c r="A52" s="207"/>
      <c r="B52" s="210" t="s">
        <v>1206</v>
      </c>
      <c r="C52" s="211">
        <v>21</v>
      </c>
      <c r="D52" s="211">
        <f t="shared" si="1"/>
        <v>21</v>
      </c>
      <c r="E52" s="211">
        <v>21</v>
      </c>
      <c r="F52" s="211"/>
      <c r="G52" s="211"/>
      <c r="H52" s="211"/>
      <c r="I52" s="211"/>
      <c r="J52" s="211"/>
      <c r="K52" s="211"/>
      <c r="L52" s="211"/>
      <c r="M52" s="211"/>
      <c r="N52" s="213" t="s">
        <v>578</v>
      </c>
    </row>
    <row r="53" ht="18" customHeight="1" spans="1:14">
      <c r="A53" s="393" t="s">
        <v>598</v>
      </c>
      <c r="B53" s="208" t="s">
        <v>599</v>
      </c>
      <c r="C53" s="205">
        <v>362.6</v>
      </c>
      <c r="D53" s="205">
        <f t="shared" si="1"/>
        <v>362.6</v>
      </c>
      <c r="E53" s="205">
        <v>362.6</v>
      </c>
      <c r="F53" s="205"/>
      <c r="G53" s="205"/>
      <c r="H53" s="205"/>
      <c r="I53" s="205"/>
      <c r="J53" s="205"/>
      <c r="K53" s="205"/>
      <c r="L53" s="205"/>
      <c r="M53" s="205"/>
      <c r="N53" s="213" t="s">
        <v>578</v>
      </c>
    </row>
    <row r="54" ht="18" customHeight="1" spans="1:14">
      <c r="A54" s="207"/>
      <c r="B54" s="210" t="s">
        <v>1207</v>
      </c>
      <c r="C54" s="211">
        <v>80</v>
      </c>
      <c r="D54" s="211">
        <f t="shared" si="1"/>
        <v>80</v>
      </c>
      <c r="E54" s="211">
        <v>80</v>
      </c>
      <c r="F54" s="211"/>
      <c r="G54" s="211"/>
      <c r="H54" s="211"/>
      <c r="I54" s="211"/>
      <c r="J54" s="211"/>
      <c r="K54" s="211"/>
      <c r="L54" s="211"/>
      <c r="M54" s="211"/>
      <c r="N54" s="213" t="s">
        <v>578</v>
      </c>
    </row>
    <row r="55" ht="18" customHeight="1" spans="1:14">
      <c r="A55" s="207"/>
      <c r="B55" s="210" t="s">
        <v>1208</v>
      </c>
      <c r="C55" s="211">
        <v>28</v>
      </c>
      <c r="D55" s="211">
        <f t="shared" si="1"/>
        <v>28</v>
      </c>
      <c r="E55" s="211">
        <v>28</v>
      </c>
      <c r="F55" s="211"/>
      <c r="G55" s="211"/>
      <c r="H55" s="211"/>
      <c r="I55" s="211"/>
      <c r="J55" s="211"/>
      <c r="K55" s="211"/>
      <c r="L55" s="211"/>
      <c r="M55" s="211"/>
      <c r="N55" s="213" t="s">
        <v>578</v>
      </c>
    </row>
    <row r="56" ht="18" customHeight="1" spans="1:14">
      <c r="A56" s="207"/>
      <c r="B56" s="210" t="s">
        <v>1209</v>
      </c>
      <c r="C56" s="211">
        <v>16.4</v>
      </c>
      <c r="D56" s="211">
        <f t="shared" si="1"/>
        <v>16.4</v>
      </c>
      <c r="E56" s="211">
        <v>16.4</v>
      </c>
      <c r="F56" s="211"/>
      <c r="G56" s="211"/>
      <c r="H56" s="211"/>
      <c r="I56" s="211"/>
      <c r="J56" s="211"/>
      <c r="K56" s="211"/>
      <c r="L56" s="211"/>
      <c r="M56" s="211"/>
      <c r="N56" s="213" t="s">
        <v>578</v>
      </c>
    </row>
    <row r="57" ht="18" customHeight="1" spans="1:14">
      <c r="A57" s="207"/>
      <c r="B57" s="210" t="s">
        <v>1210</v>
      </c>
      <c r="C57" s="211">
        <v>86.4</v>
      </c>
      <c r="D57" s="211">
        <f t="shared" si="1"/>
        <v>86.4</v>
      </c>
      <c r="E57" s="211">
        <v>86.4</v>
      </c>
      <c r="F57" s="211"/>
      <c r="G57" s="211"/>
      <c r="H57" s="211"/>
      <c r="I57" s="211"/>
      <c r="J57" s="211"/>
      <c r="K57" s="211"/>
      <c r="L57" s="211"/>
      <c r="M57" s="211"/>
      <c r="N57" s="213" t="s">
        <v>578</v>
      </c>
    </row>
    <row r="58" ht="18" customHeight="1" spans="1:14">
      <c r="A58" s="207"/>
      <c r="B58" s="210" t="s">
        <v>1211</v>
      </c>
      <c r="C58" s="211">
        <v>78.2</v>
      </c>
      <c r="D58" s="211">
        <f t="shared" si="1"/>
        <v>78.2</v>
      </c>
      <c r="E58" s="211">
        <v>78.2</v>
      </c>
      <c r="F58" s="211"/>
      <c r="G58" s="211"/>
      <c r="H58" s="211"/>
      <c r="I58" s="211"/>
      <c r="J58" s="211"/>
      <c r="K58" s="211"/>
      <c r="L58" s="211"/>
      <c r="M58" s="211"/>
      <c r="N58" s="213" t="s">
        <v>578</v>
      </c>
    </row>
    <row r="59" ht="18" customHeight="1" spans="1:14">
      <c r="A59" s="207"/>
      <c r="B59" s="210" t="s">
        <v>1212</v>
      </c>
      <c r="C59" s="211">
        <v>73.6</v>
      </c>
      <c r="D59" s="211">
        <f t="shared" si="1"/>
        <v>73.6</v>
      </c>
      <c r="E59" s="211">
        <v>73.6</v>
      </c>
      <c r="F59" s="211"/>
      <c r="G59" s="211"/>
      <c r="H59" s="211"/>
      <c r="I59" s="211"/>
      <c r="J59" s="211"/>
      <c r="K59" s="211"/>
      <c r="L59" s="211"/>
      <c r="M59" s="211"/>
      <c r="N59" s="213" t="s">
        <v>578</v>
      </c>
    </row>
    <row r="60" ht="18" customHeight="1" spans="1:14">
      <c r="A60" s="393" t="s">
        <v>600</v>
      </c>
      <c r="B60" s="208" t="s">
        <v>601</v>
      </c>
      <c r="C60" s="205">
        <v>360.54</v>
      </c>
      <c r="D60" s="205">
        <f t="shared" si="1"/>
        <v>360.54</v>
      </c>
      <c r="E60" s="205">
        <v>360.54</v>
      </c>
      <c r="F60" s="205"/>
      <c r="G60" s="205"/>
      <c r="H60" s="205"/>
      <c r="I60" s="205"/>
      <c r="J60" s="205"/>
      <c r="K60" s="205"/>
      <c r="L60" s="205"/>
      <c r="M60" s="205"/>
      <c r="N60" s="213" t="s">
        <v>578</v>
      </c>
    </row>
    <row r="61" ht="18" customHeight="1" spans="1:14">
      <c r="A61" s="207"/>
      <c r="B61" s="210" t="s">
        <v>1213</v>
      </c>
      <c r="C61" s="211">
        <v>88</v>
      </c>
      <c r="D61" s="211">
        <f t="shared" si="1"/>
        <v>88</v>
      </c>
      <c r="E61" s="211">
        <v>88</v>
      </c>
      <c r="F61" s="211"/>
      <c r="G61" s="211"/>
      <c r="H61" s="211"/>
      <c r="I61" s="211"/>
      <c r="J61" s="211"/>
      <c r="K61" s="211"/>
      <c r="L61" s="211"/>
      <c r="M61" s="211"/>
      <c r="N61" s="213" t="s">
        <v>578</v>
      </c>
    </row>
    <row r="62" ht="18" customHeight="1" spans="1:14">
      <c r="A62" s="207"/>
      <c r="B62" s="210" t="s">
        <v>1214</v>
      </c>
      <c r="C62" s="211">
        <v>117.5</v>
      </c>
      <c r="D62" s="211">
        <f t="shared" si="1"/>
        <v>117.5</v>
      </c>
      <c r="E62" s="211">
        <v>117.5</v>
      </c>
      <c r="F62" s="211"/>
      <c r="G62" s="211"/>
      <c r="H62" s="211"/>
      <c r="I62" s="211"/>
      <c r="J62" s="211"/>
      <c r="K62" s="211"/>
      <c r="L62" s="211"/>
      <c r="M62" s="211"/>
      <c r="N62" s="213" t="s">
        <v>578</v>
      </c>
    </row>
    <row r="63" ht="18" customHeight="1" spans="1:14">
      <c r="A63" s="207"/>
      <c r="B63" s="210" t="s">
        <v>1215</v>
      </c>
      <c r="C63" s="211">
        <v>24.5</v>
      </c>
      <c r="D63" s="211">
        <f t="shared" si="1"/>
        <v>24.5</v>
      </c>
      <c r="E63" s="211">
        <v>24.5</v>
      </c>
      <c r="F63" s="211"/>
      <c r="G63" s="211"/>
      <c r="H63" s="211"/>
      <c r="I63" s="211"/>
      <c r="J63" s="211"/>
      <c r="K63" s="211"/>
      <c r="L63" s="211"/>
      <c r="M63" s="211"/>
      <c r="N63" s="213" t="s">
        <v>578</v>
      </c>
    </row>
    <row r="64" ht="18" customHeight="1" spans="1:14">
      <c r="A64" s="207"/>
      <c r="B64" s="210" t="s">
        <v>1216</v>
      </c>
      <c r="C64" s="211">
        <v>130.54</v>
      </c>
      <c r="D64" s="211">
        <f t="shared" si="1"/>
        <v>130.54</v>
      </c>
      <c r="E64" s="211">
        <v>130.54</v>
      </c>
      <c r="F64" s="211"/>
      <c r="G64" s="211"/>
      <c r="H64" s="211"/>
      <c r="I64" s="211"/>
      <c r="J64" s="211"/>
      <c r="K64" s="211"/>
      <c r="L64" s="211"/>
      <c r="M64" s="211"/>
      <c r="N64" s="213" t="s">
        <v>578</v>
      </c>
    </row>
    <row r="65" ht="18" customHeight="1" spans="1:14">
      <c r="A65" s="393" t="s">
        <v>1043</v>
      </c>
      <c r="B65" s="208" t="s">
        <v>603</v>
      </c>
      <c r="C65" s="205">
        <v>195.5</v>
      </c>
      <c r="D65" s="205">
        <f t="shared" si="1"/>
        <v>195.5</v>
      </c>
      <c r="E65" s="205">
        <v>195.5</v>
      </c>
      <c r="F65" s="205"/>
      <c r="G65" s="205"/>
      <c r="H65" s="205"/>
      <c r="I65" s="205"/>
      <c r="J65" s="205"/>
      <c r="K65" s="205"/>
      <c r="L65" s="205"/>
      <c r="M65" s="205"/>
      <c r="N65" s="213" t="s">
        <v>578</v>
      </c>
    </row>
    <row r="66" ht="18" customHeight="1" spans="1:14">
      <c r="A66" s="207"/>
      <c r="B66" s="210" t="s">
        <v>1217</v>
      </c>
      <c r="C66" s="211">
        <v>45.5</v>
      </c>
      <c r="D66" s="211">
        <f t="shared" si="1"/>
        <v>45.5</v>
      </c>
      <c r="E66" s="211">
        <v>45.5</v>
      </c>
      <c r="F66" s="211"/>
      <c r="G66" s="211"/>
      <c r="H66" s="211"/>
      <c r="I66" s="211"/>
      <c r="J66" s="211"/>
      <c r="K66" s="211"/>
      <c r="L66" s="211"/>
      <c r="M66" s="211"/>
      <c r="N66" s="213" t="s">
        <v>578</v>
      </c>
    </row>
    <row r="67" ht="18" customHeight="1" spans="1:14">
      <c r="A67" s="207"/>
      <c r="B67" s="210" t="s">
        <v>1218</v>
      </c>
      <c r="C67" s="211">
        <v>28</v>
      </c>
      <c r="D67" s="211">
        <f t="shared" si="1"/>
        <v>28</v>
      </c>
      <c r="E67" s="211">
        <v>28</v>
      </c>
      <c r="F67" s="211"/>
      <c r="G67" s="211"/>
      <c r="H67" s="211"/>
      <c r="I67" s="211"/>
      <c r="J67" s="211"/>
      <c r="K67" s="211"/>
      <c r="L67" s="211"/>
      <c r="M67" s="211"/>
      <c r="N67" s="213" t="s">
        <v>578</v>
      </c>
    </row>
    <row r="68" ht="18" customHeight="1" spans="1:14">
      <c r="A68" s="207"/>
      <c r="B68" s="210" t="s">
        <v>1219</v>
      </c>
      <c r="C68" s="211">
        <v>10</v>
      </c>
      <c r="D68" s="211">
        <f t="shared" si="1"/>
        <v>10</v>
      </c>
      <c r="E68" s="211">
        <v>10</v>
      </c>
      <c r="F68" s="211"/>
      <c r="G68" s="211"/>
      <c r="H68" s="211"/>
      <c r="I68" s="211"/>
      <c r="J68" s="211"/>
      <c r="K68" s="211"/>
      <c r="L68" s="211"/>
      <c r="M68" s="211"/>
      <c r="N68" s="213" t="s">
        <v>578</v>
      </c>
    </row>
    <row r="69" ht="18" customHeight="1" spans="1:14">
      <c r="A69" s="207"/>
      <c r="B69" s="210" t="s">
        <v>1220</v>
      </c>
      <c r="C69" s="211">
        <v>25</v>
      </c>
      <c r="D69" s="211">
        <f t="shared" si="1"/>
        <v>25</v>
      </c>
      <c r="E69" s="211">
        <v>25</v>
      </c>
      <c r="F69" s="211"/>
      <c r="G69" s="211"/>
      <c r="H69" s="211"/>
      <c r="I69" s="211"/>
      <c r="J69" s="211"/>
      <c r="K69" s="211"/>
      <c r="L69" s="211"/>
      <c r="M69" s="211"/>
      <c r="N69" s="213" t="s">
        <v>578</v>
      </c>
    </row>
    <row r="70" ht="18" customHeight="1" spans="1:14">
      <c r="A70" s="207"/>
      <c r="B70" s="210" t="s">
        <v>1221</v>
      </c>
      <c r="C70" s="211">
        <v>10</v>
      </c>
      <c r="D70" s="211">
        <f t="shared" si="1"/>
        <v>10</v>
      </c>
      <c r="E70" s="211">
        <v>10</v>
      </c>
      <c r="F70" s="211"/>
      <c r="G70" s="211"/>
      <c r="H70" s="211"/>
      <c r="I70" s="211"/>
      <c r="J70" s="211"/>
      <c r="K70" s="211"/>
      <c r="L70" s="211"/>
      <c r="M70" s="211"/>
      <c r="N70" s="213" t="s">
        <v>578</v>
      </c>
    </row>
    <row r="71" ht="18" customHeight="1" spans="1:14">
      <c r="A71" s="207"/>
      <c r="B71" s="210" t="s">
        <v>1222</v>
      </c>
      <c r="C71" s="211">
        <v>20</v>
      </c>
      <c r="D71" s="211">
        <f t="shared" si="1"/>
        <v>20</v>
      </c>
      <c r="E71" s="211">
        <v>20</v>
      </c>
      <c r="F71" s="211"/>
      <c r="G71" s="211"/>
      <c r="H71" s="211"/>
      <c r="I71" s="211"/>
      <c r="J71" s="211"/>
      <c r="K71" s="211"/>
      <c r="L71" s="211"/>
      <c r="M71" s="211"/>
      <c r="N71" s="213" t="s">
        <v>578</v>
      </c>
    </row>
    <row r="72" ht="18" customHeight="1" spans="1:14">
      <c r="A72" s="207"/>
      <c r="B72" s="210" t="s">
        <v>1223</v>
      </c>
      <c r="C72" s="211">
        <v>17</v>
      </c>
      <c r="D72" s="211">
        <f t="shared" ref="D72:D135" si="2">E72+F72</f>
        <v>17</v>
      </c>
      <c r="E72" s="211">
        <v>17</v>
      </c>
      <c r="F72" s="211"/>
      <c r="G72" s="211"/>
      <c r="H72" s="211"/>
      <c r="I72" s="211"/>
      <c r="J72" s="211"/>
      <c r="K72" s="211"/>
      <c r="L72" s="211"/>
      <c r="M72" s="211"/>
      <c r="N72" s="213" t="s">
        <v>578</v>
      </c>
    </row>
    <row r="73" ht="18" customHeight="1" spans="1:14">
      <c r="A73" s="207"/>
      <c r="B73" s="210" t="s">
        <v>1224</v>
      </c>
      <c r="C73" s="211">
        <v>40</v>
      </c>
      <c r="D73" s="211">
        <f t="shared" si="2"/>
        <v>40</v>
      </c>
      <c r="E73" s="211">
        <v>40</v>
      </c>
      <c r="F73" s="211"/>
      <c r="G73" s="211"/>
      <c r="H73" s="211"/>
      <c r="I73" s="211"/>
      <c r="J73" s="211"/>
      <c r="K73" s="211"/>
      <c r="L73" s="211"/>
      <c r="M73" s="211"/>
      <c r="N73" s="213" t="s">
        <v>578</v>
      </c>
    </row>
    <row r="74" ht="18" customHeight="1" spans="1:14">
      <c r="A74" s="393" t="s">
        <v>604</v>
      </c>
      <c r="B74" s="208" t="s">
        <v>605</v>
      </c>
      <c r="C74" s="205">
        <v>974.68</v>
      </c>
      <c r="D74" s="205">
        <f t="shared" si="2"/>
        <v>974.68</v>
      </c>
      <c r="E74" s="205">
        <v>974.68</v>
      </c>
      <c r="F74" s="205"/>
      <c r="G74" s="205"/>
      <c r="H74" s="205"/>
      <c r="I74" s="205"/>
      <c r="J74" s="205"/>
      <c r="K74" s="205"/>
      <c r="L74" s="205"/>
      <c r="M74" s="205"/>
      <c r="N74" s="213" t="s">
        <v>578</v>
      </c>
    </row>
    <row r="75" ht="18" customHeight="1" spans="1:14">
      <c r="A75" s="207"/>
      <c r="B75" s="210" t="s">
        <v>1225</v>
      </c>
      <c r="C75" s="211">
        <v>8.4</v>
      </c>
      <c r="D75" s="211">
        <f t="shared" si="2"/>
        <v>8.4</v>
      </c>
      <c r="E75" s="211">
        <v>8.4</v>
      </c>
      <c r="F75" s="211"/>
      <c r="G75" s="211"/>
      <c r="H75" s="211"/>
      <c r="I75" s="211"/>
      <c r="J75" s="211"/>
      <c r="K75" s="211"/>
      <c r="L75" s="211"/>
      <c r="M75" s="211"/>
      <c r="N75" s="213" t="s">
        <v>578</v>
      </c>
    </row>
    <row r="76" ht="18" customHeight="1" spans="1:14">
      <c r="A76" s="207"/>
      <c r="B76" s="210" t="s">
        <v>1226</v>
      </c>
      <c r="C76" s="211">
        <v>560.5</v>
      </c>
      <c r="D76" s="211">
        <f t="shared" si="2"/>
        <v>560.5</v>
      </c>
      <c r="E76" s="211">
        <v>560.5</v>
      </c>
      <c r="F76" s="211"/>
      <c r="G76" s="211"/>
      <c r="H76" s="211"/>
      <c r="I76" s="211"/>
      <c r="J76" s="211"/>
      <c r="K76" s="211"/>
      <c r="L76" s="211"/>
      <c r="M76" s="211"/>
      <c r="N76" s="213" t="s">
        <v>578</v>
      </c>
    </row>
    <row r="77" ht="18" customHeight="1" spans="1:14">
      <c r="A77" s="207"/>
      <c r="B77" s="210" t="s">
        <v>1227</v>
      </c>
      <c r="C77" s="211">
        <v>405.78</v>
      </c>
      <c r="D77" s="211">
        <f t="shared" si="2"/>
        <v>405.78</v>
      </c>
      <c r="E77" s="211">
        <v>405.78</v>
      </c>
      <c r="F77" s="211"/>
      <c r="G77" s="211"/>
      <c r="H77" s="211"/>
      <c r="I77" s="211"/>
      <c r="J77" s="211"/>
      <c r="K77" s="211"/>
      <c r="L77" s="211"/>
      <c r="M77" s="211"/>
      <c r="N77" s="213" t="s">
        <v>578</v>
      </c>
    </row>
    <row r="78" ht="18" customHeight="1" spans="1:14">
      <c r="A78" s="393" t="s">
        <v>606</v>
      </c>
      <c r="B78" s="208" t="s">
        <v>1228</v>
      </c>
      <c r="C78" s="205">
        <v>30</v>
      </c>
      <c r="D78" s="205">
        <f t="shared" si="2"/>
        <v>30</v>
      </c>
      <c r="E78" s="205">
        <v>30</v>
      </c>
      <c r="F78" s="205"/>
      <c r="G78" s="205"/>
      <c r="H78" s="205"/>
      <c r="I78" s="205"/>
      <c r="J78" s="205"/>
      <c r="K78" s="205"/>
      <c r="L78" s="205"/>
      <c r="M78" s="205"/>
      <c r="N78" s="213" t="s">
        <v>578</v>
      </c>
    </row>
    <row r="79" ht="18" customHeight="1" spans="1:14">
      <c r="A79" s="207"/>
      <c r="B79" s="210" t="s">
        <v>1229</v>
      </c>
      <c r="C79" s="211">
        <v>30</v>
      </c>
      <c r="D79" s="211">
        <f t="shared" si="2"/>
        <v>30</v>
      </c>
      <c r="E79" s="211">
        <v>30</v>
      </c>
      <c r="F79" s="211"/>
      <c r="G79" s="211"/>
      <c r="H79" s="211"/>
      <c r="I79" s="211"/>
      <c r="J79" s="211"/>
      <c r="K79" s="211"/>
      <c r="L79" s="211"/>
      <c r="M79" s="211"/>
      <c r="N79" s="213" t="s">
        <v>578</v>
      </c>
    </row>
    <row r="80" ht="18" customHeight="1" spans="1:14">
      <c r="A80" s="393" t="s">
        <v>608</v>
      </c>
      <c r="B80" s="208" t="s">
        <v>609</v>
      </c>
      <c r="C80" s="205">
        <v>736.54</v>
      </c>
      <c r="D80" s="205">
        <f t="shared" si="2"/>
        <v>736.54</v>
      </c>
      <c r="E80" s="205">
        <v>736.54</v>
      </c>
      <c r="F80" s="205"/>
      <c r="G80" s="205"/>
      <c r="H80" s="205"/>
      <c r="I80" s="205"/>
      <c r="J80" s="205"/>
      <c r="K80" s="205"/>
      <c r="L80" s="205"/>
      <c r="M80" s="205"/>
      <c r="N80" s="213" t="s">
        <v>578</v>
      </c>
    </row>
    <row r="81" ht="18" customHeight="1" spans="1:14">
      <c r="A81" s="207"/>
      <c r="B81" s="210" t="s">
        <v>1230</v>
      </c>
      <c r="C81" s="211">
        <v>45.42</v>
      </c>
      <c r="D81" s="211">
        <f t="shared" si="2"/>
        <v>45.42</v>
      </c>
      <c r="E81" s="211">
        <v>45.42</v>
      </c>
      <c r="F81" s="211"/>
      <c r="G81" s="211"/>
      <c r="H81" s="211"/>
      <c r="I81" s="211"/>
      <c r="J81" s="211"/>
      <c r="K81" s="211"/>
      <c r="L81" s="211"/>
      <c r="M81" s="211"/>
      <c r="N81" s="213" t="s">
        <v>578</v>
      </c>
    </row>
    <row r="82" ht="18" customHeight="1" spans="1:14">
      <c r="A82" s="207"/>
      <c r="B82" s="210" t="s">
        <v>1231</v>
      </c>
      <c r="C82" s="211">
        <v>360</v>
      </c>
      <c r="D82" s="211">
        <f t="shared" si="2"/>
        <v>360</v>
      </c>
      <c r="E82" s="211">
        <v>360</v>
      </c>
      <c r="F82" s="211"/>
      <c r="G82" s="211"/>
      <c r="H82" s="211"/>
      <c r="I82" s="211"/>
      <c r="J82" s="211"/>
      <c r="K82" s="211"/>
      <c r="L82" s="211"/>
      <c r="M82" s="211"/>
      <c r="N82" s="213" t="s">
        <v>578</v>
      </c>
    </row>
    <row r="83" ht="18" customHeight="1" spans="1:14">
      <c r="A83" s="207"/>
      <c r="B83" s="210" t="s">
        <v>1232</v>
      </c>
      <c r="C83" s="211">
        <v>140</v>
      </c>
      <c r="D83" s="211">
        <f t="shared" si="2"/>
        <v>140</v>
      </c>
      <c r="E83" s="211">
        <v>140</v>
      </c>
      <c r="F83" s="211"/>
      <c r="G83" s="211"/>
      <c r="H83" s="211"/>
      <c r="I83" s="211"/>
      <c r="J83" s="211"/>
      <c r="K83" s="211"/>
      <c r="L83" s="211"/>
      <c r="M83" s="211"/>
      <c r="N83" s="213" t="s">
        <v>578</v>
      </c>
    </row>
    <row r="84" ht="18" customHeight="1" spans="1:14">
      <c r="A84" s="207"/>
      <c r="B84" s="210" t="s">
        <v>1233</v>
      </c>
      <c r="C84" s="211">
        <v>114.12</v>
      </c>
      <c r="D84" s="211">
        <f t="shared" si="2"/>
        <v>114.12</v>
      </c>
      <c r="E84" s="211">
        <v>114.12</v>
      </c>
      <c r="F84" s="211"/>
      <c r="G84" s="211"/>
      <c r="H84" s="211"/>
      <c r="I84" s="211"/>
      <c r="J84" s="211"/>
      <c r="K84" s="211"/>
      <c r="L84" s="211"/>
      <c r="M84" s="211"/>
      <c r="N84" s="213" t="s">
        <v>578</v>
      </c>
    </row>
    <row r="85" ht="18" customHeight="1" spans="1:14">
      <c r="A85" s="207"/>
      <c r="B85" s="210" t="s">
        <v>1234</v>
      </c>
      <c r="C85" s="211">
        <v>70</v>
      </c>
      <c r="D85" s="211">
        <f t="shared" si="2"/>
        <v>70</v>
      </c>
      <c r="E85" s="211">
        <v>70</v>
      </c>
      <c r="F85" s="211"/>
      <c r="G85" s="211"/>
      <c r="H85" s="211"/>
      <c r="I85" s="211"/>
      <c r="J85" s="211"/>
      <c r="K85" s="211"/>
      <c r="L85" s="211"/>
      <c r="M85" s="211"/>
      <c r="N85" s="213" t="s">
        <v>578</v>
      </c>
    </row>
    <row r="86" ht="18" customHeight="1" spans="1:14">
      <c r="A86" s="207"/>
      <c r="B86" s="210" t="s">
        <v>1235</v>
      </c>
      <c r="C86" s="211">
        <v>7</v>
      </c>
      <c r="D86" s="211">
        <f t="shared" si="2"/>
        <v>7</v>
      </c>
      <c r="E86" s="211">
        <v>7</v>
      </c>
      <c r="F86" s="211"/>
      <c r="G86" s="211"/>
      <c r="H86" s="211"/>
      <c r="I86" s="211"/>
      <c r="J86" s="211"/>
      <c r="K86" s="211"/>
      <c r="L86" s="211"/>
      <c r="M86" s="211"/>
      <c r="N86" s="213" t="s">
        <v>578</v>
      </c>
    </row>
    <row r="87" ht="18" customHeight="1" spans="1:14">
      <c r="A87" s="393" t="s">
        <v>610</v>
      </c>
      <c r="B87" s="208" t="s">
        <v>611</v>
      </c>
      <c r="C87" s="205">
        <v>575</v>
      </c>
      <c r="D87" s="205">
        <f t="shared" si="2"/>
        <v>575</v>
      </c>
      <c r="E87" s="205">
        <v>575</v>
      </c>
      <c r="F87" s="205"/>
      <c r="G87" s="205"/>
      <c r="H87" s="205"/>
      <c r="I87" s="205"/>
      <c r="J87" s="205"/>
      <c r="K87" s="205"/>
      <c r="L87" s="205"/>
      <c r="M87" s="205"/>
      <c r="N87" s="213" t="s">
        <v>578</v>
      </c>
    </row>
    <row r="88" ht="18" customHeight="1" spans="1:14">
      <c r="A88" s="207"/>
      <c r="B88" s="210" t="s">
        <v>1236</v>
      </c>
      <c r="C88" s="211">
        <v>260</v>
      </c>
      <c r="D88" s="211">
        <f t="shared" si="2"/>
        <v>260</v>
      </c>
      <c r="E88" s="211">
        <v>260</v>
      </c>
      <c r="F88" s="211"/>
      <c r="G88" s="211"/>
      <c r="H88" s="211"/>
      <c r="I88" s="211"/>
      <c r="J88" s="211"/>
      <c r="K88" s="211"/>
      <c r="L88" s="211"/>
      <c r="M88" s="211"/>
      <c r="N88" s="213" t="s">
        <v>578</v>
      </c>
    </row>
    <row r="89" ht="18" customHeight="1" spans="1:14">
      <c r="A89" s="207"/>
      <c r="B89" s="210" t="s">
        <v>1237</v>
      </c>
      <c r="C89" s="211">
        <v>40</v>
      </c>
      <c r="D89" s="211">
        <f t="shared" si="2"/>
        <v>40</v>
      </c>
      <c r="E89" s="211">
        <v>40</v>
      </c>
      <c r="F89" s="211"/>
      <c r="G89" s="211"/>
      <c r="H89" s="211"/>
      <c r="I89" s="211"/>
      <c r="J89" s="211"/>
      <c r="K89" s="211"/>
      <c r="L89" s="211"/>
      <c r="M89" s="211"/>
      <c r="N89" s="213" t="s">
        <v>578</v>
      </c>
    </row>
    <row r="90" ht="18" customHeight="1" spans="1:14">
      <c r="A90" s="207"/>
      <c r="B90" s="210" t="s">
        <v>1238</v>
      </c>
      <c r="C90" s="211">
        <v>216</v>
      </c>
      <c r="D90" s="211">
        <f t="shared" si="2"/>
        <v>216</v>
      </c>
      <c r="E90" s="211">
        <v>216</v>
      </c>
      <c r="F90" s="211"/>
      <c r="G90" s="211"/>
      <c r="H90" s="211"/>
      <c r="I90" s="211"/>
      <c r="J90" s="211"/>
      <c r="K90" s="211"/>
      <c r="L90" s="211"/>
      <c r="M90" s="211"/>
      <c r="N90" s="213" t="s">
        <v>578</v>
      </c>
    </row>
    <row r="91" ht="18" customHeight="1" spans="1:14">
      <c r="A91" s="207"/>
      <c r="B91" s="210" t="s">
        <v>1239</v>
      </c>
      <c r="C91" s="211">
        <v>59</v>
      </c>
      <c r="D91" s="211">
        <f t="shared" si="2"/>
        <v>59</v>
      </c>
      <c r="E91" s="211">
        <v>59</v>
      </c>
      <c r="F91" s="211"/>
      <c r="G91" s="211"/>
      <c r="H91" s="211"/>
      <c r="I91" s="211"/>
      <c r="J91" s="211"/>
      <c r="K91" s="211"/>
      <c r="L91" s="211"/>
      <c r="M91" s="211"/>
      <c r="N91" s="213" t="s">
        <v>578</v>
      </c>
    </row>
    <row r="92" ht="18" customHeight="1" spans="1:14">
      <c r="A92" s="393" t="s">
        <v>612</v>
      </c>
      <c r="B92" s="208" t="s">
        <v>613</v>
      </c>
      <c r="C92" s="205">
        <v>1161.4</v>
      </c>
      <c r="D92" s="205">
        <f t="shared" si="2"/>
        <v>1161.4</v>
      </c>
      <c r="E92" s="205">
        <v>1161.4</v>
      </c>
      <c r="F92" s="205"/>
      <c r="G92" s="205"/>
      <c r="H92" s="205"/>
      <c r="I92" s="205"/>
      <c r="J92" s="205"/>
      <c r="K92" s="205"/>
      <c r="L92" s="205"/>
      <c r="M92" s="205"/>
      <c r="N92" s="213" t="s">
        <v>578</v>
      </c>
    </row>
    <row r="93" ht="18" customHeight="1" spans="1:14">
      <c r="A93" s="207"/>
      <c r="B93" s="210" t="s">
        <v>1240</v>
      </c>
      <c r="C93" s="211">
        <v>30</v>
      </c>
      <c r="D93" s="211">
        <f t="shared" si="2"/>
        <v>30</v>
      </c>
      <c r="E93" s="211">
        <v>30</v>
      </c>
      <c r="F93" s="211"/>
      <c r="G93" s="211"/>
      <c r="H93" s="211"/>
      <c r="I93" s="211"/>
      <c r="J93" s="211"/>
      <c r="K93" s="211"/>
      <c r="L93" s="211"/>
      <c r="M93" s="211"/>
      <c r="N93" s="213" t="s">
        <v>578</v>
      </c>
    </row>
    <row r="94" ht="18" customHeight="1" spans="1:14">
      <c r="A94" s="207"/>
      <c r="B94" s="210" t="s">
        <v>1241</v>
      </c>
      <c r="C94" s="211">
        <v>6</v>
      </c>
      <c r="D94" s="211">
        <f t="shared" si="2"/>
        <v>6</v>
      </c>
      <c r="E94" s="211">
        <v>6</v>
      </c>
      <c r="F94" s="211"/>
      <c r="G94" s="211"/>
      <c r="H94" s="211"/>
      <c r="I94" s="211"/>
      <c r="J94" s="211"/>
      <c r="K94" s="211"/>
      <c r="L94" s="211"/>
      <c r="M94" s="211"/>
      <c r="N94" s="213" t="s">
        <v>578</v>
      </c>
    </row>
    <row r="95" ht="18" customHeight="1" spans="1:14">
      <c r="A95" s="207"/>
      <c r="B95" s="210" t="s">
        <v>1242</v>
      </c>
      <c r="C95" s="211">
        <v>683</v>
      </c>
      <c r="D95" s="211">
        <f t="shared" si="2"/>
        <v>683</v>
      </c>
      <c r="E95" s="211">
        <v>683</v>
      </c>
      <c r="F95" s="211"/>
      <c r="G95" s="211"/>
      <c r="H95" s="211"/>
      <c r="I95" s="211"/>
      <c r="J95" s="211"/>
      <c r="K95" s="211"/>
      <c r="L95" s="211"/>
      <c r="M95" s="211"/>
      <c r="N95" s="213" t="s">
        <v>578</v>
      </c>
    </row>
    <row r="96" ht="18" customHeight="1" spans="1:14">
      <c r="A96" s="207"/>
      <c r="B96" s="210" t="s">
        <v>1243</v>
      </c>
      <c r="C96" s="211">
        <v>206.4</v>
      </c>
      <c r="D96" s="211">
        <f t="shared" si="2"/>
        <v>206.4</v>
      </c>
      <c r="E96" s="211">
        <v>206.4</v>
      </c>
      <c r="F96" s="211"/>
      <c r="G96" s="211"/>
      <c r="H96" s="211"/>
      <c r="I96" s="211"/>
      <c r="J96" s="211"/>
      <c r="K96" s="211"/>
      <c r="L96" s="211"/>
      <c r="M96" s="211"/>
      <c r="N96" s="213" t="s">
        <v>578</v>
      </c>
    </row>
    <row r="97" ht="18" customHeight="1" spans="1:14">
      <c r="A97" s="207"/>
      <c r="B97" s="210" t="s">
        <v>1244</v>
      </c>
      <c r="C97" s="211">
        <v>210</v>
      </c>
      <c r="D97" s="211">
        <f t="shared" si="2"/>
        <v>210</v>
      </c>
      <c r="E97" s="211">
        <v>210</v>
      </c>
      <c r="F97" s="211"/>
      <c r="G97" s="211"/>
      <c r="H97" s="211"/>
      <c r="I97" s="211"/>
      <c r="J97" s="211"/>
      <c r="K97" s="211"/>
      <c r="L97" s="211"/>
      <c r="M97" s="211"/>
      <c r="N97" s="213" t="s">
        <v>578</v>
      </c>
    </row>
    <row r="98" ht="18" customHeight="1" spans="1:14">
      <c r="A98" s="207"/>
      <c r="B98" s="210" t="s">
        <v>1245</v>
      </c>
      <c r="C98" s="211">
        <v>26</v>
      </c>
      <c r="D98" s="211">
        <f t="shared" si="2"/>
        <v>26</v>
      </c>
      <c r="E98" s="211">
        <v>26</v>
      </c>
      <c r="F98" s="211"/>
      <c r="G98" s="211"/>
      <c r="H98" s="211"/>
      <c r="I98" s="211"/>
      <c r="J98" s="211"/>
      <c r="K98" s="211"/>
      <c r="L98" s="211"/>
      <c r="M98" s="211"/>
      <c r="N98" s="213" t="s">
        <v>578</v>
      </c>
    </row>
    <row r="99" ht="18" customHeight="1" spans="1:14">
      <c r="A99" s="393" t="s">
        <v>614</v>
      </c>
      <c r="B99" s="204" t="s">
        <v>615</v>
      </c>
      <c r="C99" s="205">
        <v>9584.78</v>
      </c>
      <c r="D99" s="205">
        <f t="shared" si="2"/>
        <v>9584.78</v>
      </c>
      <c r="E99" s="205">
        <v>9584.78</v>
      </c>
      <c r="F99" s="205"/>
      <c r="G99" s="205"/>
      <c r="H99" s="205"/>
      <c r="I99" s="205"/>
      <c r="J99" s="205"/>
      <c r="K99" s="205"/>
      <c r="L99" s="205"/>
      <c r="M99" s="205"/>
      <c r="N99" s="213" t="s">
        <v>578</v>
      </c>
    </row>
    <row r="100" ht="18" customHeight="1" spans="1:14">
      <c r="A100" s="207"/>
      <c r="B100" s="210" t="s">
        <v>1246</v>
      </c>
      <c r="C100" s="211">
        <v>320</v>
      </c>
      <c r="D100" s="211">
        <f t="shared" si="2"/>
        <v>320</v>
      </c>
      <c r="E100" s="211">
        <v>320</v>
      </c>
      <c r="F100" s="211"/>
      <c r="G100" s="211"/>
      <c r="H100" s="211"/>
      <c r="I100" s="211"/>
      <c r="J100" s="211"/>
      <c r="K100" s="211"/>
      <c r="L100" s="211"/>
      <c r="M100" s="211"/>
      <c r="N100" s="213" t="s">
        <v>578</v>
      </c>
    </row>
    <row r="101" ht="18" customHeight="1" spans="1:14">
      <c r="A101" s="207"/>
      <c r="B101" s="210" t="s">
        <v>1247</v>
      </c>
      <c r="C101" s="211">
        <v>417.41</v>
      </c>
      <c r="D101" s="211">
        <f t="shared" si="2"/>
        <v>417.41</v>
      </c>
      <c r="E101" s="211">
        <v>417.41</v>
      </c>
      <c r="F101" s="211"/>
      <c r="G101" s="211"/>
      <c r="H101" s="211"/>
      <c r="I101" s="211"/>
      <c r="J101" s="211"/>
      <c r="K101" s="211"/>
      <c r="L101" s="211"/>
      <c r="M101" s="211"/>
      <c r="N101" s="213" t="s">
        <v>578</v>
      </c>
    </row>
    <row r="102" ht="18" customHeight="1" spans="1:14">
      <c r="A102" s="207"/>
      <c r="B102" s="210" t="s">
        <v>1248</v>
      </c>
      <c r="C102" s="211">
        <v>100</v>
      </c>
      <c r="D102" s="211">
        <f t="shared" si="2"/>
        <v>100</v>
      </c>
      <c r="E102" s="211">
        <v>100</v>
      </c>
      <c r="F102" s="211"/>
      <c r="G102" s="211"/>
      <c r="H102" s="211"/>
      <c r="I102" s="211"/>
      <c r="J102" s="211"/>
      <c r="K102" s="211"/>
      <c r="L102" s="211"/>
      <c r="M102" s="211"/>
      <c r="N102" s="213" t="s">
        <v>578</v>
      </c>
    </row>
    <row r="103" ht="18" customHeight="1" spans="1:14">
      <c r="A103" s="207"/>
      <c r="B103" s="210" t="s">
        <v>1249</v>
      </c>
      <c r="C103" s="211">
        <v>60</v>
      </c>
      <c r="D103" s="211">
        <f t="shared" si="2"/>
        <v>60</v>
      </c>
      <c r="E103" s="211">
        <v>60</v>
      </c>
      <c r="F103" s="211"/>
      <c r="G103" s="211"/>
      <c r="H103" s="211"/>
      <c r="I103" s="211"/>
      <c r="J103" s="211"/>
      <c r="K103" s="211"/>
      <c r="L103" s="211"/>
      <c r="M103" s="211"/>
      <c r="N103" s="213" t="s">
        <v>578</v>
      </c>
    </row>
    <row r="104" ht="18" customHeight="1" spans="1:14">
      <c r="A104" s="207"/>
      <c r="B104" s="210" t="s">
        <v>1250</v>
      </c>
      <c r="C104" s="211">
        <v>649.5</v>
      </c>
      <c r="D104" s="211">
        <f t="shared" si="2"/>
        <v>649.5</v>
      </c>
      <c r="E104" s="211">
        <v>649.5</v>
      </c>
      <c r="F104" s="211"/>
      <c r="G104" s="211"/>
      <c r="H104" s="211"/>
      <c r="I104" s="211"/>
      <c r="J104" s="211"/>
      <c r="K104" s="211"/>
      <c r="L104" s="211"/>
      <c r="M104" s="211"/>
      <c r="N104" s="213" t="s">
        <v>578</v>
      </c>
    </row>
    <row r="105" ht="18" customHeight="1" spans="1:14">
      <c r="A105" s="207"/>
      <c r="B105" s="210" t="s">
        <v>1251</v>
      </c>
      <c r="C105" s="211">
        <v>2370</v>
      </c>
      <c r="D105" s="211">
        <f t="shared" si="2"/>
        <v>2370</v>
      </c>
      <c r="E105" s="211">
        <v>2370</v>
      </c>
      <c r="F105" s="211"/>
      <c r="G105" s="211"/>
      <c r="H105" s="211"/>
      <c r="I105" s="211"/>
      <c r="J105" s="211"/>
      <c r="K105" s="211"/>
      <c r="L105" s="211"/>
      <c r="M105" s="211"/>
      <c r="N105" s="213" t="s">
        <v>578</v>
      </c>
    </row>
    <row r="106" ht="18" customHeight="1" spans="1:14">
      <c r="A106" s="207"/>
      <c r="B106" s="210" t="s">
        <v>1252</v>
      </c>
      <c r="C106" s="211">
        <v>4928.87</v>
      </c>
      <c r="D106" s="211">
        <f t="shared" si="2"/>
        <v>4928.87</v>
      </c>
      <c r="E106" s="211">
        <v>4928.87</v>
      </c>
      <c r="F106" s="211"/>
      <c r="G106" s="211"/>
      <c r="H106" s="211"/>
      <c r="I106" s="211"/>
      <c r="J106" s="211"/>
      <c r="K106" s="211"/>
      <c r="L106" s="211"/>
      <c r="M106" s="211"/>
      <c r="N106" s="213" t="s">
        <v>578</v>
      </c>
    </row>
    <row r="107" ht="18" customHeight="1" spans="1:14">
      <c r="A107" s="207"/>
      <c r="B107" s="210" t="s">
        <v>1253</v>
      </c>
      <c r="C107" s="211">
        <v>145</v>
      </c>
      <c r="D107" s="211">
        <f t="shared" si="2"/>
        <v>145</v>
      </c>
      <c r="E107" s="211">
        <v>145</v>
      </c>
      <c r="F107" s="211"/>
      <c r="G107" s="211"/>
      <c r="H107" s="211"/>
      <c r="I107" s="211"/>
      <c r="J107" s="211"/>
      <c r="K107" s="211"/>
      <c r="L107" s="211"/>
      <c r="M107" s="211"/>
      <c r="N107" s="213" t="s">
        <v>578</v>
      </c>
    </row>
    <row r="108" ht="18" customHeight="1" spans="1:14">
      <c r="A108" s="207"/>
      <c r="B108" s="210" t="s">
        <v>1254</v>
      </c>
      <c r="C108" s="211">
        <v>594</v>
      </c>
      <c r="D108" s="211">
        <f t="shared" si="2"/>
        <v>594</v>
      </c>
      <c r="E108" s="211">
        <v>594</v>
      </c>
      <c r="F108" s="211"/>
      <c r="G108" s="211"/>
      <c r="H108" s="211"/>
      <c r="I108" s="211"/>
      <c r="J108" s="211"/>
      <c r="K108" s="211"/>
      <c r="L108" s="211"/>
      <c r="M108" s="211"/>
      <c r="N108" s="213" t="s">
        <v>578</v>
      </c>
    </row>
    <row r="109" ht="18" customHeight="1" spans="1:14">
      <c r="A109" s="393" t="s">
        <v>616</v>
      </c>
      <c r="B109" s="204" t="s">
        <v>617</v>
      </c>
      <c r="C109" s="205">
        <v>371.85</v>
      </c>
      <c r="D109" s="205">
        <f t="shared" si="2"/>
        <v>371.85</v>
      </c>
      <c r="E109" s="205">
        <v>371.85</v>
      </c>
      <c r="F109" s="205"/>
      <c r="G109" s="205"/>
      <c r="H109" s="205"/>
      <c r="I109" s="205"/>
      <c r="J109" s="205"/>
      <c r="K109" s="205"/>
      <c r="L109" s="205"/>
      <c r="M109" s="205"/>
      <c r="N109" s="213" t="s">
        <v>578</v>
      </c>
    </row>
    <row r="110" ht="18" customHeight="1" spans="1:14">
      <c r="A110" s="207"/>
      <c r="B110" s="210" t="s">
        <v>1255</v>
      </c>
      <c r="C110" s="211">
        <v>56.73</v>
      </c>
      <c r="D110" s="211">
        <f t="shared" si="2"/>
        <v>56.73</v>
      </c>
      <c r="E110" s="211">
        <v>56.73</v>
      </c>
      <c r="F110" s="211"/>
      <c r="G110" s="211"/>
      <c r="H110" s="211"/>
      <c r="I110" s="211"/>
      <c r="J110" s="211"/>
      <c r="K110" s="211"/>
      <c r="L110" s="211"/>
      <c r="M110" s="211"/>
      <c r="N110" s="213" t="s">
        <v>578</v>
      </c>
    </row>
    <row r="111" ht="18" customHeight="1" spans="1:14">
      <c r="A111" s="207"/>
      <c r="B111" s="210" t="s">
        <v>1256</v>
      </c>
      <c r="C111" s="211">
        <v>80.5</v>
      </c>
      <c r="D111" s="211">
        <f t="shared" si="2"/>
        <v>80.5</v>
      </c>
      <c r="E111" s="211">
        <v>80.5</v>
      </c>
      <c r="F111" s="211"/>
      <c r="G111" s="211"/>
      <c r="H111" s="211"/>
      <c r="I111" s="211"/>
      <c r="J111" s="211"/>
      <c r="K111" s="211"/>
      <c r="L111" s="211"/>
      <c r="M111" s="211"/>
      <c r="N111" s="213" t="s">
        <v>578</v>
      </c>
    </row>
    <row r="112" ht="18" customHeight="1" spans="1:14">
      <c r="A112" s="207"/>
      <c r="B112" s="210" t="s">
        <v>1257</v>
      </c>
      <c r="C112" s="211">
        <v>7</v>
      </c>
      <c r="D112" s="211">
        <f t="shared" si="2"/>
        <v>7</v>
      </c>
      <c r="E112" s="211">
        <v>7</v>
      </c>
      <c r="F112" s="211"/>
      <c r="G112" s="211"/>
      <c r="H112" s="211"/>
      <c r="I112" s="211"/>
      <c r="J112" s="211"/>
      <c r="K112" s="211"/>
      <c r="L112" s="211"/>
      <c r="M112" s="211"/>
      <c r="N112" s="213" t="s">
        <v>578</v>
      </c>
    </row>
    <row r="113" ht="18" customHeight="1" spans="1:14">
      <c r="A113" s="207"/>
      <c r="B113" s="210" t="s">
        <v>1258</v>
      </c>
      <c r="C113" s="211">
        <v>42.5</v>
      </c>
      <c r="D113" s="211">
        <f t="shared" si="2"/>
        <v>42.5</v>
      </c>
      <c r="E113" s="211">
        <v>42.5</v>
      </c>
      <c r="F113" s="211"/>
      <c r="G113" s="211"/>
      <c r="H113" s="211"/>
      <c r="I113" s="211"/>
      <c r="J113" s="211"/>
      <c r="K113" s="211"/>
      <c r="L113" s="211"/>
      <c r="M113" s="211"/>
      <c r="N113" s="213" t="s">
        <v>578</v>
      </c>
    </row>
    <row r="114" ht="18" customHeight="1" spans="1:14">
      <c r="A114" s="207"/>
      <c r="B114" s="210" t="s">
        <v>1259</v>
      </c>
      <c r="C114" s="211">
        <v>88</v>
      </c>
      <c r="D114" s="211">
        <f t="shared" si="2"/>
        <v>88</v>
      </c>
      <c r="E114" s="211">
        <v>88</v>
      </c>
      <c r="F114" s="211"/>
      <c r="G114" s="211"/>
      <c r="H114" s="211"/>
      <c r="I114" s="211"/>
      <c r="J114" s="211"/>
      <c r="K114" s="211"/>
      <c r="L114" s="211"/>
      <c r="M114" s="211"/>
      <c r="N114" s="213" t="s">
        <v>578</v>
      </c>
    </row>
    <row r="115" ht="18" customHeight="1" spans="1:14">
      <c r="A115" s="207"/>
      <c r="B115" s="210" t="s">
        <v>1260</v>
      </c>
      <c r="C115" s="211">
        <v>65.12</v>
      </c>
      <c r="D115" s="211">
        <f t="shared" si="2"/>
        <v>65.12</v>
      </c>
      <c r="E115" s="211">
        <v>65.12</v>
      </c>
      <c r="F115" s="211"/>
      <c r="G115" s="211"/>
      <c r="H115" s="211"/>
      <c r="I115" s="211"/>
      <c r="J115" s="211"/>
      <c r="K115" s="211"/>
      <c r="L115" s="211"/>
      <c r="M115" s="211"/>
      <c r="N115" s="213" t="s">
        <v>578</v>
      </c>
    </row>
    <row r="116" ht="18" customHeight="1" spans="1:14">
      <c r="A116" s="207"/>
      <c r="B116" s="210" t="s">
        <v>1261</v>
      </c>
      <c r="C116" s="211">
        <v>20</v>
      </c>
      <c r="D116" s="211">
        <f t="shared" si="2"/>
        <v>20</v>
      </c>
      <c r="E116" s="211">
        <v>20</v>
      </c>
      <c r="F116" s="211"/>
      <c r="G116" s="211"/>
      <c r="H116" s="211"/>
      <c r="I116" s="211"/>
      <c r="J116" s="211"/>
      <c r="K116" s="211"/>
      <c r="L116" s="211"/>
      <c r="M116" s="211"/>
      <c r="N116" s="213" t="s">
        <v>578</v>
      </c>
    </row>
    <row r="117" ht="18" customHeight="1" spans="1:14">
      <c r="A117" s="207"/>
      <c r="B117" s="210" t="s">
        <v>1262</v>
      </c>
      <c r="C117" s="211">
        <v>12</v>
      </c>
      <c r="D117" s="211">
        <f t="shared" si="2"/>
        <v>12</v>
      </c>
      <c r="E117" s="211">
        <v>12</v>
      </c>
      <c r="F117" s="211"/>
      <c r="G117" s="211"/>
      <c r="H117" s="211"/>
      <c r="I117" s="211"/>
      <c r="J117" s="211"/>
      <c r="K117" s="211"/>
      <c r="L117" s="211"/>
      <c r="M117" s="211"/>
      <c r="N117" s="213" t="s">
        <v>578</v>
      </c>
    </row>
    <row r="118" ht="18" customHeight="1" spans="1:14">
      <c r="A118" s="393" t="s">
        <v>618</v>
      </c>
      <c r="B118" s="204" t="s">
        <v>1263</v>
      </c>
      <c r="C118" s="205">
        <v>121.5</v>
      </c>
      <c r="D118" s="205">
        <f t="shared" si="2"/>
        <v>121.5</v>
      </c>
      <c r="E118" s="205">
        <v>121.5</v>
      </c>
      <c r="F118" s="205"/>
      <c r="G118" s="205"/>
      <c r="H118" s="205"/>
      <c r="I118" s="205"/>
      <c r="J118" s="205"/>
      <c r="K118" s="205"/>
      <c r="L118" s="205"/>
      <c r="M118" s="205"/>
      <c r="N118" s="213" t="s">
        <v>578</v>
      </c>
    </row>
    <row r="119" ht="18" customHeight="1" spans="1:14">
      <c r="A119" s="207"/>
      <c r="B119" s="210" t="s">
        <v>1264</v>
      </c>
      <c r="C119" s="211">
        <v>44</v>
      </c>
      <c r="D119" s="211">
        <f t="shared" si="2"/>
        <v>44</v>
      </c>
      <c r="E119" s="211">
        <v>44</v>
      </c>
      <c r="F119" s="211"/>
      <c r="G119" s="211"/>
      <c r="H119" s="211"/>
      <c r="I119" s="211"/>
      <c r="J119" s="211"/>
      <c r="K119" s="211"/>
      <c r="L119" s="211"/>
      <c r="M119" s="211"/>
      <c r="N119" s="213" t="s">
        <v>578</v>
      </c>
    </row>
    <row r="120" ht="18" customHeight="1" spans="1:14">
      <c r="A120" s="207"/>
      <c r="B120" s="210" t="s">
        <v>1265</v>
      </c>
      <c r="C120" s="211">
        <v>17.5</v>
      </c>
      <c r="D120" s="211">
        <f t="shared" si="2"/>
        <v>17.5</v>
      </c>
      <c r="E120" s="211">
        <v>17.5</v>
      </c>
      <c r="F120" s="211"/>
      <c r="G120" s="211"/>
      <c r="H120" s="211"/>
      <c r="I120" s="211"/>
      <c r="J120" s="211"/>
      <c r="K120" s="211"/>
      <c r="L120" s="211"/>
      <c r="M120" s="211"/>
      <c r="N120" s="213" t="s">
        <v>578</v>
      </c>
    </row>
    <row r="121" ht="18" customHeight="1" spans="1:14">
      <c r="A121" s="207"/>
      <c r="B121" s="210" t="s">
        <v>1266</v>
      </c>
      <c r="C121" s="211">
        <v>60</v>
      </c>
      <c r="D121" s="211">
        <f t="shared" si="2"/>
        <v>60</v>
      </c>
      <c r="E121" s="211">
        <v>60</v>
      </c>
      <c r="F121" s="211"/>
      <c r="G121" s="211"/>
      <c r="H121" s="211"/>
      <c r="I121" s="211"/>
      <c r="J121" s="211"/>
      <c r="K121" s="211"/>
      <c r="L121" s="211"/>
      <c r="M121" s="211"/>
      <c r="N121" s="213" t="s">
        <v>578</v>
      </c>
    </row>
    <row r="122" ht="18" customHeight="1" spans="1:14">
      <c r="A122" s="393" t="s">
        <v>620</v>
      </c>
      <c r="B122" s="204" t="s">
        <v>1267</v>
      </c>
      <c r="C122" s="205">
        <v>969.82</v>
      </c>
      <c r="D122" s="205">
        <f t="shared" si="2"/>
        <v>969.82</v>
      </c>
      <c r="E122" s="205">
        <v>969.82</v>
      </c>
      <c r="F122" s="205"/>
      <c r="G122" s="205"/>
      <c r="H122" s="205"/>
      <c r="I122" s="205"/>
      <c r="J122" s="205"/>
      <c r="K122" s="205"/>
      <c r="L122" s="205"/>
      <c r="M122" s="205"/>
      <c r="N122" s="213" t="s">
        <v>578</v>
      </c>
    </row>
    <row r="123" ht="18" customHeight="1" spans="1:14">
      <c r="A123" s="207"/>
      <c r="B123" s="210" t="s">
        <v>1268</v>
      </c>
      <c r="C123" s="211">
        <v>139</v>
      </c>
      <c r="D123" s="211">
        <f t="shared" si="2"/>
        <v>139</v>
      </c>
      <c r="E123" s="211">
        <v>139</v>
      </c>
      <c r="F123" s="211"/>
      <c r="G123" s="211"/>
      <c r="H123" s="211"/>
      <c r="I123" s="211"/>
      <c r="J123" s="211"/>
      <c r="K123" s="211"/>
      <c r="L123" s="211"/>
      <c r="M123" s="211"/>
      <c r="N123" s="213" t="s">
        <v>578</v>
      </c>
    </row>
    <row r="124" ht="18" customHeight="1" spans="1:14">
      <c r="A124" s="207"/>
      <c r="B124" s="210" t="s">
        <v>1269</v>
      </c>
      <c r="C124" s="211">
        <v>39</v>
      </c>
      <c r="D124" s="211">
        <f t="shared" si="2"/>
        <v>39</v>
      </c>
      <c r="E124" s="211">
        <v>39</v>
      </c>
      <c r="F124" s="211"/>
      <c r="G124" s="211"/>
      <c r="H124" s="211"/>
      <c r="I124" s="211"/>
      <c r="J124" s="211"/>
      <c r="K124" s="211"/>
      <c r="L124" s="211"/>
      <c r="M124" s="211"/>
      <c r="N124" s="213" t="s">
        <v>578</v>
      </c>
    </row>
    <row r="125" ht="18" customHeight="1" spans="1:14">
      <c r="A125" s="207"/>
      <c r="B125" s="210" t="s">
        <v>1270</v>
      </c>
      <c r="C125" s="211">
        <v>10</v>
      </c>
      <c r="D125" s="211">
        <f t="shared" si="2"/>
        <v>10</v>
      </c>
      <c r="E125" s="211">
        <v>10</v>
      </c>
      <c r="F125" s="211"/>
      <c r="G125" s="211"/>
      <c r="H125" s="211"/>
      <c r="I125" s="211"/>
      <c r="J125" s="211"/>
      <c r="K125" s="211"/>
      <c r="L125" s="211"/>
      <c r="M125" s="211"/>
      <c r="N125" s="213" t="s">
        <v>578</v>
      </c>
    </row>
    <row r="126" ht="18" customHeight="1" spans="1:14">
      <c r="A126" s="207"/>
      <c r="B126" s="210" t="s">
        <v>1271</v>
      </c>
      <c r="C126" s="211">
        <v>237.82</v>
      </c>
      <c r="D126" s="211">
        <f t="shared" si="2"/>
        <v>237.82</v>
      </c>
      <c r="E126" s="211">
        <v>237.82</v>
      </c>
      <c r="F126" s="211"/>
      <c r="G126" s="211"/>
      <c r="H126" s="211"/>
      <c r="I126" s="211"/>
      <c r="J126" s="211"/>
      <c r="K126" s="211"/>
      <c r="L126" s="211"/>
      <c r="M126" s="211"/>
      <c r="N126" s="213" t="s">
        <v>578</v>
      </c>
    </row>
    <row r="127" ht="18" customHeight="1" spans="1:14">
      <c r="A127" s="207"/>
      <c r="B127" s="210" t="s">
        <v>1272</v>
      </c>
      <c r="C127" s="211">
        <v>450</v>
      </c>
      <c r="D127" s="211">
        <f t="shared" si="2"/>
        <v>450</v>
      </c>
      <c r="E127" s="211">
        <v>450</v>
      </c>
      <c r="F127" s="211"/>
      <c r="G127" s="211"/>
      <c r="H127" s="211"/>
      <c r="I127" s="211"/>
      <c r="J127" s="211"/>
      <c r="K127" s="211"/>
      <c r="L127" s="211"/>
      <c r="M127" s="211"/>
      <c r="N127" s="213" t="s">
        <v>578</v>
      </c>
    </row>
    <row r="128" ht="18" customHeight="1" spans="1:14">
      <c r="A128" s="207"/>
      <c r="B128" s="210" t="s">
        <v>1273</v>
      </c>
      <c r="C128" s="211">
        <v>4</v>
      </c>
      <c r="D128" s="211">
        <f t="shared" si="2"/>
        <v>4</v>
      </c>
      <c r="E128" s="211">
        <v>4</v>
      </c>
      <c r="F128" s="211"/>
      <c r="G128" s="211"/>
      <c r="H128" s="211"/>
      <c r="I128" s="211"/>
      <c r="J128" s="211"/>
      <c r="K128" s="211"/>
      <c r="L128" s="211"/>
      <c r="M128" s="211"/>
      <c r="N128" s="213" t="s">
        <v>578</v>
      </c>
    </row>
    <row r="129" ht="18" customHeight="1" spans="1:14">
      <c r="A129" s="207"/>
      <c r="B129" s="210" t="s">
        <v>1274</v>
      </c>
      <c r="C129" s="211">
        <v>90</v>
      </c>
      <c r="D129" s="211">
        <f t="shared" si="2"/>
        <v>90</v>
      </c>
      <c r="E129" s="211">
        <v>90</v>
      </c>
      <c r="F129" s="211"/>
      <c r="G129" s="211"/>
      <c r="H129" s="211"/>
      <c r="I129" s="211"/>
      <c r="J129" s="211"/>
      <c r="K129" s="211"/>
      <c r="L129" s="211"/>
      <c r="M129" s="211"/>
      <c r="N129" s="213" t="s">
        <v>578</v>
      </c>
    </row>
    <row r="130" ht="18" customHeight="1" spans="1:14">
      <c r="A130" s="393" t="s">
        <v>622</v>
      </c>
      <c r="B130" s="208" t="s">
        <v>1275</v>
      </c>
      <c r="C130" s="205">
        <v>149</v>
      </c>
      <c r="D130" s="205">
        <f t="shared" si="2"/>
        <v>149</v>
      </c>
      <c r="E130" s="205">
        <v>149</v>
      </c>
      <c r="F130" s="205"/>
      <c r="G130" s="205"/>
      <c r="H130" s="205"/>
      <c r="I130" s="205"/>
      <c r="J130" s="205"/>
      <c r="K130" s="205"/>
      <c r="L130" s="205"/>
      <c r="M130" s="205"/>
      <c r="N130" s="213" t="s">
        <v>578</v>
      </c>
    </row>
    <row r="131" ht="18" customHeight="1" spans="1:14">
      <c r="A131" s="207"/>
      <c r="B131" s="210" t="s">
        <v>1276</v>
      </c>
      <c r="C131" s="211">
        <v>149</v>
      </c>
      <c r="D131" s="211">
        <f t="shared" si="2"/>
        <v>149</v>
      </c>
      <c r="E131" s="211">
        <v>149</v>
      </c>
      <c r="F131" s="211"/>
      <c r="G131" s="211"/>
      <c r="H131" s="211"/>
      <c r="I131" s="211"/>
      <c r="J131" s="211"/>
      <c r="K131" s="211"/>
      <c r="L131" s="211"/>
      <c r="M131" s="211"/>
      <c r="N131" s="213" t="s">
        <v>578</v>
      </c>
    </row>
    <row r="132" ht="18" customHeight="1" spans="1:14">
      <c r="A132" s="393" t="s">
        <v>624</v>
      </c>
      <c r="B132" s="204" t="s">
        <v>625</v>
      </c>
      <c r="C132" s="205">
        <v>458</v>
      </c>
      <c r="D132" s="205">
        <f t="shared" si="2"/>
        <v>458</v>
      </c>
      <c r="E132" s="205">
        <v>458</v>
      </c>
      <c r="F132" s="205"/>
      <c r="G132" s="205"/>
      <c r="H132" s="205"/>
      <c r="I132" s="205"/>
      <c r="J132" s="205"/>
      <c r="K132" s="205"/>
      <c r="L132" s="205"/>
      <c r="M132" s="205"/>
      <c r="N132" s="213" t="s">
        <v>578</v>
      </c>
    </row>
    <row r="133" ht="18" customHeight="1" spans="1:14">
      <c r="A133" s="207"/>
      <c r="B133" s="210" t="s">
        <v>1277</v>
      </c>
      <c r="C133" s="211">
        <v>68</v>
      </c>
      <c r="D133" s="211">
        <f t="shared" si="2"/>
        <v>68</v>
      </c>
      <c r="E133" s="211">
        <v>68</v>
      </c>
      <c r="F133" s="211"/>
      <c r="G133" s="211"/>
      <c r="H133" s="211"/>
      <c r="I133" s="211"/>
      <c r="J133" s="211"/>
      <c r="K133" s="211"/>
      <c r="L133" s="211"/>
      <c r="M133" s="211"/>
      <c r="N133" s="213" t="s">
        <v>578</v>
      </c>
    </row>
    <row r="134" ht="18" customHeight="1" spans="1:14">
      <c r="A134" s="207"/>
      <c r="B134" s="210" t="s">
        <v>1278</v>
      </c>
      <c r="C134" s="211">
        <v>47</v>
      </c>
      <c r="D134" s="211">
        <f t="shared" si="2"/>
        <v>47</v>
      </c>
      <c r="E134" s="211">
        <v>47</v>
      </c>
      <c r="F134" s="211"/>
      <c r="G134" s="211"/>
      <c r="H134" s="211"/>
      <c r="I134" s="211"/>
      <c r="J134" s="211"/>
      <c r="K134" s="211"/>
      <c r="L134" s="211"/>
      <c r="M134" s="211"/>
      <c r="N134" s="213" t="s">
        <v>578</v>
      </c>
    </row>
    <row r="135" ht="18" customHeight="1" spans="1:14">
      <c r="A135" s="207"/>
      <c r="B135" s="210" t="s">
        <v>1279</v>
      </c>
      <c r="C135" s="211">
        <v>68</v>
      </c>
      <c r="D135" s="211">
        <f t="shared" si="2"/>
        <v>68</v>
      </c>
      <c r="E135" s="211">
        <v>68</v>
      </c>
      <c r="F135" s="211"/>
      <c r="G135" s="211"/>
      <c r="H135" s="211"/>
      <c r="I135" s="211"/>
      <c r="J135" s="211"/>
      <c r="K135" s="211"/>
      <c r="L135" s="211"/>
      <c r="M135" s="211"/>
      <c r="N135" s="213" t="s">
        <v>578</v>
      </c>
    </row>
    <row r="136" ht="18" customHeight="1" spans="1:14">
      <c r="A136" s="207"/>
      <c r="B136" s="210" t="s">
        <v>1280</v>
      </c>
      <c r="C136" s="211">
        <v>105</v>
      </c>
      <c r="D136" s="211">
        <f t="shared" ref="D136:D149" si="3">E136+F136</f>
        <v>105</v>
      </c>
      <c r="E136" s="211">
        <v>105</v>
      </c>
      <c r="F136" s="211"/>
      <c r="G136" s="211"/>
      <c r="H136" s="211"/>
      <c r="I136" s="211"/>
      <c r="J136" s="211"/>
      <c r="K136" s="211"/>
      <c r="L136" s="211"/>
      <c r="M136" s="211"/>
      <c r="N136" s="213" t="s">
        <v>578</v>
      </c>
    </row>
    <row r="137" ht="18" customHeight="1" spans="1:14">
      <c r="A137" s="207"/>
      <c r="B137" s="210" t="s">
        <v>1281</v>
      </c>
      <c r="C137" s="211">
        <v>50</v>
      </c>
      <c r="D137" s="211">
        <f t="shared" si="3"/>
        <v>50</v>
      </c>
      <c r="E137" s="211">
        <v>50</v>
      </c>
      <c r="F137" s="211"/>
      <c r="G137" s="211"/>
      <c r="H137" s="211"/>
      <c r="I137" s="211"/>
      <c r="J137" s="211"/>
      <c r="K137" s="211"/>
      <c r="L137" s="211"/>
      <c r="M137" s="211"/>
      <c r="N137" s="213" t="s">
        <v>578</v>
      </c>
    </row>
    <row r="138" ht="18" customHeight="1" spans="1:14">
      <c r="A138" s="207"/>
      <c r="B138" s="210" t="s">
        <v>1282</v>
      </c>
      <c r="C138" s="211">
        <v>20</v>
      </c>
      <c r="D138" s="211">
        <f t="shared" si="3"/>
        <v>20</v>
      </c>
      <c r="E138" s="211">
        <v>20</v>
      </c>
      <c r="F138" s="211"/>
      <c r="G138" s="211"/>
      <c r="H138" s="211"/>
      <c r="I138" s="211"/>
      <c r="J138" s="211"/>
      <c r="K138" s="211"/>
      <c r="L138" s="211"/>
      <c r="M138" s="211"/>
      <c r="N138" s="213" t="s">
        <v>578</v>
      </c>
    </row>
    <row r="139" ht="18" customHeight="1" spans="1:14">
      <c r="A139" s="207"/>
      <c r="B139" s="210" t="s">
        <v>1283</v>
      </c>
      <c r="C139" s="211">
        <v>100</v>
      </c>
      <c r="D139" s="211">
        <f t="shared" si="3"/>
        <v>100</v>
      </c>
      <c r="E139" s="211">
        <v>100</v>
      </c>
      <c r="F139" s="211"/>
      <c r="G139" s="211"/>
      <c r="H139" s="211"/>
      <c r="I139" s="211"/>
      <c r="J139" s="211"/>
      <c r="K139" s="211"/>
      <c r="L139" s="211"/>
      <c r="M139" s="211"/>
      <c r="N139" s="213" t="s">
        <v>578</v>
      </c>
    </row>
    <row r="140" ht="18" customHeight="1" spans="1:14">
      <c r="A140" s="393" t="s">
        <v>626</v>
      </c>
      <c r="B140" s="204" t="s">
        <v>627</v>
      </c>
      <c r="C140" s="205">
        <v>124</v>
      </c>
      <c r="D140" s="205">
        <f t="shared" si="3"/>
        <v>124</v>
      </c>
      <c r="E140" s="205">
        <v>124</v>
      </c>
      <c r="F140" s="205"/>
      <c r="G140" s="205"/>
      <c r="H140" s="205"/>
      <c r="I140" s="205"/>
      <c r="J140" s="205"/>
      <c r="K140" s="205"/>
      <c r="L140" s="205"/>
      <c r="M140" s="205"/>
      <c r="N140" s="213" t="s">
        <v>578</v>
      </c>
    </row>
    <row r="141" ht="18" customHeight="1" spans="1:14">
      <c r="A141" s="207"/>
      <c r="B141" s="210" t="s">
        <v>1284</v>
      </c>
      <c r="C141" s="211">
        <v>5</v>
      </c>
      <c r="D141" s="211">
        <f t="shared" si="3"/>
        <v>5</v>
      </c>
      <c r="E141" s="211">
        <v>5</v>
      </c>
      <c r="F141" s="211"/>
      <c r="G141" s="211"/>
      <c r="H141" s="211"/>
      <c r="I141" s="211"/>
      <c r="J141" s="211"/>
      <c r="K141" s="211"/>
      <c r="L141" s="211"/>
      <c r="M141" s="211"/>
      <c r="N141" s="213" t="s">
        <v>578</v>
      </c>
    </row>
    <row r="142" ht="18" customHeight="1" spans="1:14">
      <c r="A142" s="207"/>
      <c r="B142" s="210" t="s">
        <v>1285</v>
      </c>
      <c r="C142" s="211">
        <v>10</v>
      </c>
      <c r="D142" s="211">
        <f t="shared" si="3"/>
        <v>10</v>
      </c>
      <c r="E142" s="211">
        <v>10</v>
      </c>
      <c r="F142" s="211"/>
      <c r="G142" s="211"/>
      <c r="H142" s="211"/>
      <c r="I142" s="211"/>
      <c r="J142" s="211"/>
      <c r="K142" s="211"/>
      <c r="L142" s="211"/>
      <c r="M142" s="211"/>
      <c r="N142" s="213" t="s">
        <v>578</v>
      </c>
    </row>
    <row r="143" ht="18" customHeight="1" spans="1:14">
      <c r="A143" s="207"/>
      <c r="B143" s="210" t="s">
        <v>1286</v>
      </c>
      <c r="C143" s="211">
        <v>8</v>
      </c>
      <c r="D143" s="211">
        <f t="shared" si="3"/>
        <v>8</v>
      </c>
      <c r="E143" s="211">
        <v>8</v>
      </c>
      <c r="F143" s="211"/>
      <c r="G143" s="211"/>
      <c r="H143" s="211"/>
      <c r="I143" s="211"/>
      <c r="J143" s="211"/>
      <c r="K143" s="211"/>
      <c r="L143" s="211"/>
      <c r="M143" s="211"/>
      <c r="N143" s="213" t="s">
        <v>578</v>
      </c>
    </row>
    <row r="144" ht="18" customHeight="1" spans="1:14">
      <c r="A144" s="207"/>
      <c r="B144" s="210" t="s">
        <v>1287</v>
      </c>
      <c r="C144" s="211">
        <v>66</v>
      </c>
      <c r="D144" s="211">
        <f t="shared" si="3"/>
        <v>66</v>
      </c>
      <c r="E144" s="211">
        <v>66</v>
      </c>
      <c r="F144" s="211"/>
      <c r="G144" s="211"/>
      <c r="H144" s="211"/>
      <c r="I144" s="211"/>
      <c r="J144" s="211"/>
      <c r="K144" s="211"/>
      <c r="L144" s="211"/>
      <c r="M144" s="211"/>
      <c r="N144" s="213" t="s">
        <v>578</v>
      </c>
    </row>
    <row r="145" ht="18" customHeight="1" spans="1:14">
      <c r="A145" s="207"/>
      <c r="B145" s="210" t="s">
        <v>1288</v>
      </c>
      <c r="C145" s="211">
        <v>12</v>
      </c>
      <c r="D145" s="211">
        <f t="shared" si="3"/>
        <v>12</v>
      </c>
      <c r="E145" s="211">
        <v>12</v>
      </c>
      <c r="F145" s="211"/>
      <c r="G145" s="211"/>
      <c r="H145" s="211"/>
      <c r="I145" s="211"/>
      <c r="J145" s="211"/>
      <c r="K145" s="211"/>
      <c r="L145" s="211"/>
      <c r="M145" s="211"/>
      <c r="N145" s="213" t="s">
        <v>578</v>
      </c>
    </row>
    <row r="146" ht="18" customHeight="1" spans="1:14">
      <c r="A146" s="207"/>
      <c r="B146" s="210" t="s">
        <v>1289</v>
      </c>
      <c r="C146" s="211">
        <v>20</v>
      </c>
      <c r="D146" s="211">
        <f t="shared" si="3"/>
        <v>20</v>
      </c>
      <c r="E146" s="211">
        <v>20</v>
      </c>
      <c r="F146" s="211"/>
      <c r="G146" s="211"/>
      <c r="H146" s="211"/>
      <c r="I146" s="211"/>
      <c r="J146" s="211"/>
      <c r="K146" s="211"/>
      <c r="L146" s="211"/>
      <c r="M146" s="211"/>
      <c r="N146" s="213" t="s">
        <v>578</v>
      </c>
    </row>
    <row r="147" ht="18" customHeight="1" spans="1:14">
      <c r="A147" s="207"/>
      <c r="B147" s="210" t="s">
        <v>1290</v>
      </c>
      <c r="C147" s="211">
        <v>3</v>
      </c>
      <c r="D147" s="211">
        <f t="shared" si="3"/>
        <v>3</v>
      </c>
      <c r="E147" s="211">
        <v>3</v>
      </c>
      <c r="F147" s="211"/>
      <c r="G147" s="211"/>
      <c r="H147" s="211"/>
      <c r="I147" s="211"/>
      <c r="J147" s="211"/>
      <c r="K147" s="211"/>
      <c r="L147" s="211"/>
      <c r="M147" s="211"/>
      <c r="N147" s="213" t="s">
        <v>578</v>
      </c>
    </row>
    <row r="148" ht="18" customHeight="1" spans="1:14">
      <c r="A148" s="393" t="s">
        <v>628</v>
      </c>
      <c r="B148" s="204" t="s">
        <v>629</v>
      </c>
      <c r="C148" s="205">
        <v>80</v>
      </c>
      <c r="D148" s="205">
        <f t="shared" si="3"/>
        <v>80</v>
      </c>
      <c r="E148" s="205">
        <v>80</v>
      </c>
      <c r="F148" s="205"/>
      <c r="G148" s="205"/>
      <c r="H148" s="205"/>
      <c r="I148" s="205"/>
      <c r="J148" s="205"/>
      <c r="K148" s="205"/>
      <c r="L148" s="205"/>
      <c r="M148" s="205"/>
      <c r="N148" s="213" t="s">
        <v>578</v>
      </c>
    </row>
    <row r="149" ht="18" customHeight="1" spans="1:14">
      <c r="A149" s="207"/>
      <c r="B149" s="210" t="s">
        <v>1291</v>
      </c>
      <c r="C149" s="211">
        <v>80</v>
      </c>
      <c r="D149" s="211">
        <f t="shared" si="3"/>
        <v>80</v>
      </c>
      <c r="E149" s="211">
        <v>80</v>
      </c>
      <c r="F149" s="211"/>
      <c r="G149" s="211"/>
      <c r="H149" s="211"/>
      <c r="I149" s="211"/>
      <c r="J149" s="211"/>
      <c r="K149" s="211"/>
      <c r="L149" s="211"/>
      <c r="M149" s="211"/>
      <c r="N149" s="213" t="s">
        <v>578</v>
      </c>
    </row>
    <row r="150" ht="18" customHeight="1" spans="1:14">
      <c r="A150" s="207"/>
      <c r="B150" s="204" t="s">
        <v>630</v>
      </c>
      <c r="C150" s="205">
        <v>1152.748113</v>
      </c>
      <c r="D150" s="205">
        <v>1152.748113</v>
      </c>
      <c r="E150" s="205">
        <v>1152.748113</v>
      </c>
      <c r="F150" s="205"/>
      <c r="G150" s="205"/>
      <c r="H150" s="205"/>
      <c r="I150" s="205"/>
      <c r="J150" s="205">
        <v>0</v>
      </c>
      <c r="K150" s="205">
        <v>0</v>
      </c>
      <c r="L150" s="205">
        <v>0</v>
      </c>
      <c r="M150" s="205"/>
      <c r="N150" s="213" t="s">
        <v>578</v>
      </c>
    </row>
    <row r="151" ht="18" customHeight="1" spans="1:14">
      <c r="A151" s="207">
        <v>101001</v>
      </c>
      <c r="B151" s="204" t="s">
        <v>632</v>
      </c>
      <c r="C151" s="205">
        <v>73</v>
      </c>
      <c r="D151" s="205">
        <f t="shared" ref="D151:D198" si="4">E151+F151</f>
        <v>73</v>
      </c>
      <c r="E151" s="205">
        <v>73</v>
      </c>
      <c r="F151" s="205"/>
      <c r="G151" s="205"/>
      <c r="H151" s="205"/>
      <c r="I151" s="205"/>
      <c r="J151" s="205"/>
      <c r="K151" s="205"/>
      <c r="L151" s="205"/>
      <c r="M151" s="205"/>
      <c r="N151" s="213" t="s">
        <v>578</v>
      </c>
    </row>
    <row r="152" ht="18" customHeight="1" spans="1:14">
      <c r="A152" s="207"/>
      <c r="B152" s="210" t="s">
        <v>1292</v>
      </c>
      <c r="C152" s="211">
        <v>10</v>
      </c>
      <c r="D152" s="211">
        <f t="shared" si="4"/>
        <v>10</v>
      </c>
      <c r="E152" s="211">
        <v>10</v>
      </c>
      <c r="F152" s="211"/>
      <c r="G152" s="211"/>
      <c r="H152" s="211"/>
      <c r="I152" s="211"/>
      <c r="J152" s="211"/>
      <c r="K152" s="211"/>
      <c r="L152" s="211"/>
      <c r="M152" s="211"/>
      <c r="N152" s="213" t="s">
        <v>578</v>
      </c>
    </row>
    <row r="153" ht="18" customHeight="1" spans="1:14">
      <c r="A153" s="207"/>
      <c r="B153" s="210" t="s">
        <v>1293</v>
      </c>
      <c r="C153" s="211">
        <v>50</v>
      </c>
      <c r="D153" s="211">
        <f t="shared" si="4"/>
        <v>50</v>
      </c>
      <c r="E153" s="211">
        <v>50</v>
      </c>
      <c r="F153" s="211"/>
      <c r="G153" s="211"/>
      <c r="H153" s="211"/>
      <c r="I153" s="211"/>
      <c r="J153" s="211"/>
      <c r="K153" s="211"/>
      <c r="L153" s="211"/>
      <c r="M153" s="211"/>
      <c r="N153" s="213" t="s">
        <v>578</v>
      </c>
    </row>
    <row r="154" ht="18" customHeight="1" spans="1:14">
      <c r="A154" s="207"/>
      <c r="B154" s="210" t="s">
        <v>1294</v>
      </c>
      <c r="C154" s="211">
        <v>13</v>
      </c>
      <c r="D154" s="211">
        <f t="shared" si="4"/>
        <v>13</v>
      </c>
      <c r="E154" s="211">
        <v>13</v>
      </c>
      <c r="F154" s="211"/>
      <c r="G154" s="211"/>
      <c r="H154" s="211"/>
      <c r="I154" s="211"/>
      <c r="J154" s="211"/>
      <c r="K154" s="211"/>
      <c r="L154" s="211"/>
      <c r="M154" s="211"/>
      <c r="N154" s="213" t="s">
        <v>578</v>
      </c>
    </row>
    <row r="155" ht="18" customHeight="1" spans="1:14">
      <c r="A155" s="207">
        <v>101002</v>
      </c>
      <c r="B155" s="204" t="s">
        <v>634</v>
      </c>
      <c r="C155" s="205">
        <v>85</v>
      </c>
      <c r="D155" s="205">
        <f t="shared" si="4"/>
        <v>85</v>
      </c>
      <c r="E155" s="205">
        <v>85</v>
      </c>
      <c r="F155" s="205"/>
      <c r="G155" s="205"/>
      <c r="H155" s="205"/>
      <c r="I155" s="205"/>
      <c r="J155" s="205"/>
      <c r="K155" s="205"/>
      <c r="L155" s="205"/>
      <c r="M155" s="205"/>
      <c r="N155" s="213" t="s">
        <v>578</v>
      </c>
    </row>
    <row r="156" ht="18" customHeight="1" spans="1:14">
      <c r="A156" s="207"/>
      <c r="B156" s="210" t="s">
        <v>1295</v>
      </c>
      <c r="C156" s="211">
        <v>5</v>
      </c>
      <c r="D156" s="211">
        <f t="shared" si="4"/>
        <v>5</v>
      </c>
      <c r="E156" s="211">
        <v>5</v>
      </c>
      <c r="F156" s="211"/>
      <c r="G156" s="211"/>
      <c r="H156" s="211"/>
      <c r="I156" s="211"/>
      <c r="J156" s="211"/>
      <c r="K156" s="211"/>
      <c r="L156" s="211"/>
      <c r="M156" s="211"/>
      <c r="N156" s="213" t="s">
        <v>578</v>
      </c>
    </row>
    <row r="157" ht="18" customHeight="1" spans="1:14">
      <c r="A157" s="207"/>
      <c r="B157" s="210" t="s">
        <v>1296</v>
      </c>
      <c r="C157" s="211">
        <v>35</v>
      </c>
      <c r="D157" s="211">
        <f t="shared" si="4"/>
        <v>35</v>
      </c>
      <c r="E157" s="211">
        <v>35</v>
      </c>
      <c r="F157" s="211"/>
      <c r="G157" s="211"/>
      <c r="H157" s="211"/>
      <c r="I157" s="211"/>
      <c r="J157" s="211"/>
      <c r="K157" s="211"/>
      <c r="L157" s="211"/>
      <c r="M157" s="211"/>
      <c r="N157" s="213" t="s">
        <v>578</v>
      </c>
    </row>
    <row r="158" ht="18" customHeight="1" spans="1:14">
      <c r="A158" s="207"/>
      <c r="B158" s="210" t="s">
        <v>1297</v>
      </c>
      <c r="C158" s="211">
        <v>45</v>
      </c>
      <c r="D158" s="211">
        <f t="shared" si="4"/>
        <v>45</v>
      </c>
      <c r="E158" s="211">
        <v>45</v>
      </c>
      <c r="F158" s="211"/>
      <c r="G158" s="211"/>
      <c r="H158" s="211"/>
      <c r="I158" s="211"/>
      <c r="J158" s="211"/>
      <c r="K158" s="211"/>
      <c r="L158" s="211"/>
      <c r="M158" s="211"/>
      <c r="N158" s="213" t="s">
        <v>578</v>
      </c>
    </row>
    <row r="159" ht="18" customHeight="1" spans="1:14">
      <c r="A159" s="207">
        <v>101003</v>
      </c>
      <c r="B159" s="204" t="s">
        <v>636</v>
      </c>
      <c r="C159" s="205">
        <v>192</v>
      </c>
      <c r="D159" s="205">
        <f t="shared" si="4"/>
        <v>192</v>
      </c>
      <c r="E159" s="205">
        <v>192</v>
      </c>
      <c r="F159" s="205"/>
      <c r="G159" s="205"/>
      <c r="H159" s="205"/>
      <c r="I159" s="205"/>
      <c r="J159" s="205"/>
      <c r="K159" s="205"/>
      <c r="L159" s="205"/>
      <c r="M159" s="205"/>
      <c r="N159" s="213" t="s">
        <v>578</v>
      </c>
    </row>
    <row r="160" ht="18" customHeight="1" spans="1:14">
      <c r="A160" s="207"/>
      <c r="B160" s="210" t="s">
        <v>1298</v>
      </c>
      <c r="C160" s="211">
        <v>32</v>
      </c>
      <c r="D160" s="211">
        <f t="shared" si="4"/>
        <v>32</v>
      </c>
      <c r="E160" s="211">
        <v>32</v>
      </c>
      <c r="F160" s="211"/>
      <c r="G160" s="211"/>
      <c r="H160" s="211"/>
      <c r="I160" s="211"/>
      <c r="J160" s="211"/>
      <c r="K160" s="211"/>
      <c r="L160" s="211"/>
      <c r="M160" s="211"/>
      <c r="N160" s="213" t="s">
        <v>578</v>
      </c>
    </row>
    <row r="161" ht="18" customHeight="1" spans="1:14">
      <c r="A161" s="207"/>
      <c r="B161" s="210" t="s">
        <v>1299</v>
      </c>
      <c r="C161" s="211">
        <v>160</v>
      </c>
      <c r="D161" s="211">
        <f t="shared" si="4"/>
        <v>160</v>
      </c>
      <c r="E161" s="211">
        <v>160</v>
      </c>
      <c r="F161" s="211"/>
      <c r="G161" s="211"/>
      <c r="H161" s="211"/>
      <c r="I161" s="211"/>
      <c r="J161" s="211"/>
      <c r="K161" s="211"/>
      <c r="L161" s="211"/>
      <c r="M161" s="211"/>
      <c r="N161" s="213" t="s">
        <v>578</v>
      </c>
    </row>
    <row r="162" ht="18" customHeight="1" spans="1:14">
      <c r="A162" s="207">
        <v>101004</v>
      </c>
      <c r="B162" s="204" t="s">
        <v>638</v>
      </c>
      <c r="C162" s="205">
        <v>32</v>
      </c>
      <c r="D162" s="205">
        <f t="shared" si="4"/>
        <v>32</v>
      </c>
      <c r="E162" s="205">
        <v>32</v>
      </c>
      <c r="F162" s="205"/>
      <c r="G162" s="205"/>
      <c r="H162" s="205"/>
      <c r="I162" s="205"/>
      <c r="J162" s="205"/>
      <c r="K162" s="205"/>
      <c r="L162" s="205"/>
      <c r="M162" s="205"/>
      <c r="N162" s="213" t="s">
        <v>578</v>
      </c>
    </row>
    <row r="163" ht="18" customHeight="1" spans="1:14">
      <c r="A163" s="207"/>
      <c r="B163" s="210" t="s">
        <v>1300</v>
      </c>
      <c r="C163" s="211">
        <v>22</v>
      </c>
      <c r="D163" s="211">
        <f t="shared" si="4"/>
        <v>22</v>
      </c>
      <c r="E163" s="211">
        <v>22</v>
      </c>
      <c r="F163" s="211"/>
      <c r="G163" s="211"/>
      <c r="H163" s="211"/>
      <c r="I163" s="211"/>
      <c r="J163" s="211"/>
      <c r="K163" s="211"/>
      <c r="L163" s="211"/>
      <c r="M163" s="211"/>
      <c r="N163" s="213" t="s">
        <v>578</v>
      </c>
    </row>
    <row r="164" ht="18" customHeight="1" spans="1:14">
      <c r="A164" s="207"/>
      <c r="B164" s="210" t="s">
        <v>1301</v>
      </c>
      <c r="C164" s="211">
        <v>10</v>
      </c>
      <c r="D164" s="211">
        <f t="shared" si="4"/>
        <v>10</v>
      </c>
      <c r="E164" s="211">
        <v>10</v>
      </c>
      <c r="F164" s="211"/>
      <c r="G164" s="211"/>
      <c r="H164" s="211"/>
      <c r="I164" s="211"/>
      <c r="J164" s="211"/>
      <c r="K164" s="211"/>
      <c r="L164" s="211"/>
      <c r="M164" s="211"/>
      <c r="N164" s="213" t="s">
        <v>578</v>
      </c>
    </row>
    <row r="165" ht="18" customHeight="1" spans="1:14">
      <c r="A165" s="207">
        <v>101005</v>
      </c>
      <c r="B165" s="204" t="s">
        <v>640</v>
      </c>
      <c r="C165" s="205">
        <v>15</v>
      </c>
      <c r="D165" s="205">
        <f t="shared" si="4"/>
        <v>15</v>
      </c>
      <c r="E165" s="205">
        <v>15</v>
      </c>
      <c r="F165" s="205"/>
      <c r="G165" s="205"/>
      <c r="H165" s="205"/>
      <c r="I165" s="205"/>
      <c r="J165" s="205"/>
      <c r="K165" s="205"/>
      <c r="L165" s="205"/>
      <c r="M165" s="205"/>
      <c r="N165" s="213" t="s">
        <v>578</v>
      </c>
    </row>
    <row r="166" ht="18" customHeight="1" spans="1:14">
      <c r="A166" s="207"/>
      <c r="B166" s="210" t="s">
        <v>1302</v>
      </c>
      <c r="C166" s="211">
        <v>15</v>
      </c>
      <c r="D166" s="211">
        <f t="shared" si="4"/>
        <v>15</v>
      </c>
      <c r="E166" s="211">
        <v>15</v>
      </c>
      <c r="F166" s="211"/>
      <c r="G166" s="211"/>
      <c r="H166" s="211"/>
      <c r="I166" s="211"/>
      <c r="J166" s="211"/>
      <c r="K166" s="211"/>
      <c r="L166" s="211"/>
      <c r="M166" s="211"/>
      <c r="N166" s="213" t="s">
        <v>578</v>
      </c>
    </row>
    <row r="167" ht="18" customHeight="1" spans="1:14">
      <c r="A167" s="207">
        <v>101006</v>
      </c>
      <c r="B167" s="204" t="s">
        <v>1048</v>
      </c>
      <c r="C167" s="205">
        <v>20</v>
      </c>
      <c r="D167" s="205">
        <f t="shared" si="4"/>
        <v>20</v>
      </c>
      <c r="E167" s="205">
        <v>20</v>
      </c>
      <c r="F167" s="205"/>
      <c r="G167" s="205"/>
      <c r="H167" s="205"/>
      <c r="I167" s="205"/>
      <c r="J167" s="205"/>
      <c r="K167" s="205"/>
      <c r="L167" s="205"/>
      <c r="M167" s="205"/>
      <c r="N167" s="213" t="s">
        <v>578</v>
      </c>
    </row>
    <row r="168" ht="18" customHeight="1" spans="1:14">
      <c r="A168" s="207"/>
      <c r="B168" s="210" t="s">
        <v>1303</v>
      </c>
      <c r="C168" s="211">
        <v>20</v>
      </c>
      <c r="D168" s="211">
        <f t="shared" si="4"/>
        <v>20</v>
      </c>
      <c r="E168" s="211">
        <v>20</v>
      </c>
      <c r="F168" s="211"/>
      <c r="G168" s="211"/>
      <c r="H168" s="211"/>
      <c r="I168" s="211"/>
      <c r="J168" s="211"/>
      <c r="K168" s="211"/>
      <c r="L168" s="211"/>
      <c r="M168" s="211"/>
      <c r="N168" s="213" t="s">
        <v>578</v>
      </c>
    </row>
    <row r="169" ht="18" customHeight="1" spans="1:14">
      <c r="A169" s="207">
        <v>101008</v>
      </c>
      <c r="B169" s="204" t="s">
        <v>646</v>
      </c>
      <c r="C169" s="205">
        <v>22.5</v>
      </c>
      <c r="D169" s="205">
        <f t="shared" si="4"/>
        <v>22.5</v>
      </c>
      <c r="E169" s="205">
        <v>22.5</v>
      </c>
      <c r="F169" s="205"/>
      <c r="G169" s="205"/>
      <c r="H169" s="205"/>
      <c r="I169" s="205"/>
      <c r="J169" s="205"/>
      <c r="K169" s="205"/>
      <c r="L169" s="205"/>
      <c r="M169" s="205"/>
      <c r="N169" s="213" t="s">
        <v>578</v>
      </c>
    </row>
    <row r="170" ht="18" customHeight="1" spans="1:14">
      <c r="A170" s="207"/>
      <c r="B170" s="210" t="s">
        <v>1304</v>
      </c>
      <c r="C170" s="211">
        <v>22.5</v>
      </c>
      <c r="D170" s="211">
        <f t="shared" si="4"/>
        <v>22.5</v>
      </c>
      <c r="E170" s="211">
        <v>22.5</v>
      </c>
      <c r="F170" s="211"/>
      <c r="G170" s="211"/>
      <c r="H170" s="211"/>
      <c r="I170" s="211"/>
      <c r="J170" s="211"/>
      <c r="K170" s="211"/>
      <c r="L170" s="211"/>
      <c r="M170" s="211"/>
      <c r="N170" s="213" t="s">
        <v>578</v>
      </c>
    </row>
    <row r="171" ht="18" customHeight="1" spans="1:14">
      <c r="A171" s="207">
        <v>101010</v>
      </c>
      <c r="B171" s="204" t="s">
        <v>648</v>
      </c>
      <c r="C171" s="205">
        <v>32</v>
      </c>
      <c r="D171" s="205">
        <f t="shared" si="4"/>
        <v>32</v>
      </c>
      <c r="E171" s="205">
        <v>32</v>
      </c>
      <c r="F171" s="205"/>
      <c r="G171" s="205"/>
      <c r="H171" s="205"/>
      <c r="I171" s="205"/>
      <c r="J171" s="205"/>
      <c r="K171" s="205"/>
      <c r="L171" s="205"/>
      <c r="M171" s="205"/>
      <c r="N171" s="213" t="s">
        <v>578</v>
      </c>
    </row>
    <row r="172" ht="18" customHeight="1" spans="1:14">
      <c r="A172" s="207"/>
      <c r="B172" s="210" t="s">
        <v>1305</v>
      </c>
      <c r="C172" s="211">
        <v>32</v>
      </c>
      <c r="D172" s="211">
        <f t="shared" si="4"/>
        <v>32</v>
      </c>
      <c r="E172" s="211">
        <v>32</v>
      </c>
      <c r="F172" s="211"/>
      <c r="G172" s="211"/>
      <c r="H172" s="211"/>
      <c r="I172" s="211"/>
      <c r="J172" s="211"/>
      <c r="K172" s="211"/>
      <c r="L172" s="211"/>
      <c r="M172" s="211"/>
      <c r="N172" s="213" t="s">
        <v>578</v>
      </c>
    </row>
    <row r="173" ht="18" customHeight="1" spans="1:14">
      <c r="A173" s="207">
        <v>101011</v>
      </c>
      <c r="B173" s="204" t="s">
        <v>650</v>
      </c>
      <c r="C173" s="205">
        <v>171</v>
      </c>
      <c r="D173" s="205">
        <f t="shared" si="4"/>
        <v>171</v>
      </c>
      <c r="E173" s="205">
        <v>171</v>
      </c>
      <c r="F173" s="205"/>
      <c r="G173" s="205"/>
      <c r="H173" s="205"/>
      <c r="I173" s="205"/>
      <c r="J173" s="205"/>
      <c r="K173" s="205"/>
      <c r="L173" s="205"/>
      <c r="M173" s="205"/>
      <c r="N173" s="213" t="s">
        <v>578</v>
      </c>
    </row>
    <row r="174" ht="18" customHeight="1" spans="1:14">
      <c r="A174" s="207"/>
      <c r="B174" s="210" t="s">
        <v>1306</v>
      </c>
      <c r="C174" s="211">
        <v>98</v>
      </c>
      <c r="D174" s="211">
        <f t="shared" si="4"/>
        <v>98</v>
      </c>
      <c r="E174" s="211">
        <v>98</v>
      </c>
      <c r="F174" s="211"/>
      <c r="G174" s="211"/>
      <c r="H174" s="211"/>
      <c r="I174" s="211"/>
      <c r="J174" s="211"/>
      <c r="K174" s="211"/>
      <c r="L174" s="211"/>
      <c r="M174" s="211"/>
      <c r="N174" s="213" t="s">
        <v>578</v>
      </c>
    </row>
    <row r="175" ht="18" customHeight="1" spans="1:14">
      <c r="A175" s="207"/>
      <c r="B175" s="210" t="s">
        <v>1307</v>
      </c>
      <c r="C175" s="211">
        <v>25</v>
      </c>
      <c r="D175" s="211">
        <f t="shared" si="4"/>
        <v>25</v>
      </c>
      <c r="E175" s="211">
        <v>25</v>
      </c>
      <c r="F175" s="211"/>
      <c r="G175" s="211"/>
      <c r="H175" s="211"/>
      <c r="I175" s="211"/>
      <c r="J175" s="211"/>
      <c r="K175" s="211"/>
      <c r="L175" s="211"/>
      <c r="M175" s="211"/>
      <c r="N175" s="213" t="s">
        <v>578</v>
      </c>
    </row>
    <row r="176" ht="18" customHeight="1" spans="1:14">
      <c r="A176" s="207"/>
      <c r="B176" s="210" t="s">
        <v>1308</v>
      </c>
      <c r="C176" s="211">
        <v>13</v>
      </c>
      <c r="D176" s="211">
        <f t="shared" si="4"/>
        <v>13</v>
      </c>
      <c r="E176" s="211">
        <v>13</v>
      </c>
      <c r="F176" s="211"/>
      <c r="G176" s="211"/>
      <c r="H176" s="211"/>
      <c r="I176" s="211"/>
      <c r="J176" s="211"/>
      <c r="K176" s="211"/>
      <c r="L176" s="211"/>
      <c r="M176" s="211"/>
      <c r="N176" s="213" t="s">
        <v>578</v>
      </c>
    </row>
    <row r="177" ht="18" customHeight="1" spans="1:14">
      <c r="A177" s="207"/>
      <c r="B177" s="210" t="s">
        <v>1309</v>
      </c>
      <c r="C177" s="211">
        <v>35</v>
      </c>
      <c r="D177" s="211">
        <f t="shared" si="4"/>
        <v>35</v>
      </c>
      <c r="E177" s="211">
        <v>35</v>
      </c>
      <c r="F177" s="211"/>
      <c r="G177" s="211"/>
      <c r="H177" s="211"/>
      <c r="I177" s="211"/>
      <c r="J177" s="211"/>
      <c r="K177" s="211"/>
      <c r="L177" s="211"/>
      <c r="M177" s="211"/>
      <c r="N177" s="213" t="s">
        <v>578</v>
      </c>
    </row>
    <row r="178" ht="18" customHeight="1" spans="1:14">
      <c r="A178" s="207">
        <v>101012</v>
      </c>
      <c r="B178" s="204" t="s">
        <v>652</v>
      </c>
      <c r="C178" s="205">
        <v>66</v>
      </c>
      <c r="D178" s="205">
        <f t="shared" si="4"/>
        <v>66</v>
      </c>
      <c r="E178" s="205">
        <v>66</v>
      </c>
      <c r="F178" s="205"/>
      <c r="G178" s="205"/>
      <c r="H178" s="205"/>
      <c r="I178" s="205"/>
      <c r="J178" s="205"/>
      <c r="K178" s="205"/>
      <c r="L178" s="205"/>
      <c r="M178" s="205"/>
      <c r="N178" s="213" t="s">
        <v>578</v>
      </c>
    </row>
    <row r="179" ht="18" customHeight="1" spans="1:14">
      <c r="A179" s="207"/>
      <c r="B179" s="210" t="s">
        <v>1310</v>
      </c>
      <c r="C179" s="211">
        <v>10</v>
      </c>
      <c r="D179" s="211">
        <f t="shared" si="4"/>
        <v>10</v>
      </c>
      <c r="E179" s="211">
        <v>10</v>
      </c>
      <c r="F179" s="211"/>
      <c r="G179" s="211"/>
      <c r="H179" s="211"/>
      <c r="I179" s="211"/>
      <c r="J179" s="211"/>
      <c r="K179" s="211"/>
      <c r="L179" s="211"/>
      <c r="M179" s="211"/>
      <c r="N179" s="213" t="s">
        <v>578</v>
      </c>
    </row>
    <row r="180" ht="18" customHeight="1" spans="1:14">
      <c r="A180" s="207"/>
      <c r="B180" s="210" t="s">
        <v>1311</v>
      </c>
      <c r="C180" s="211">
        <v>10</v>
      </c>
      <c r="D180" s="211">
        <f t="shared" si="4"/>
        <v>10</v>
      </c>
      <c r="E180" s="211">
        <v>10</v>
      </c>
      <c r="F180" s="211"/>
      <c r="G180" s="211"/>
      <c r="H180" s="211"/>
      <c r="I180" s="211"/>
      <c r="J180" s="211"/>
      <c r="K180" s="211"/>
      <c r="L180" s="211"/>
      <c r="M180" s="211"/>
      <c r="N180" s="213" t="s">
        <v>578</v>
      </c>
    </row>
    <row r="181" ht="18" customHeight="1" spans="1:14">
      <c r="A181" s="207"/>
      <c r="B181" s="210" t="s">
        <v>1312</v>
      </c>
      <c r="C181" s="211">
        <v>10</v>
      </c>
      <c r="D181" s="211">
        <f t="shared" si="4"/>
        <v>10</v>
      </c>
      <c r="E181" s="211">
        <v>10</v>
      </c>
      <c r="F181" s="211"/>
      <c r="G181" s="211"/>
      <c r="H181" s="211"/>
      <c r="I181" s="211"/>
      <c r="J181" s="211"/>
      <c r="K181" s="211"/>
      <c r="L181" s="211"/>
      <c r="M181" s="211"/>
      <c r="N181" s="213" t="s">
        <v>578</v>
      </c>
    </row>
    <row r="182" ht="18" customHeight="1" spans="1:14">
      <c r="A182" s="207"/>
      <c r="B182" s="210" t="s">
        <v>1313</v>
      </c>
      <c r="C182" s="211">
        <v>30</v>
      </c>
      <c r="D182" s="211">
        <f t="shared" si="4"/>
        <v>30</v>
      </c>
      <c r="E182" s="211">
        <v>30</v>
      </c>
      <c r="F182" s="211"/>
      <c r="G182" s="211"/>
      <c r="H182" s="211"/>
      <c r="I182" s="211"/>
      <c r="J182" s="211"/>
      <c r="K182" s="211"/>
      <c r="L182" s="211"/>
      <c r="M182" s="211"/>
      <c r="N182" s="213" t="s">
        <v>578</v>
      </c>
    </row>
    <row r="183" ht="18" customHeight="1" spans="1:14">
      <c r="A183" s="207"/>
      <c r="B183" s="210" t="s">
        <v>1314</v>
      </c>
      <c r="C183" s="211">
        <v>6</v>
      </c>
      <c r="D183" s="211">
        <f t="shared" si="4"/>
        <v>6</v>
      </c>
      <c r="E183" s="211">
        <v>6</v>
      </c>
      <c r="F183" s="211"/>
      <c r="G183" s="211"/>
      <c r="H183" s="211"/>
      <c r="I183" s="211"/>
      <c r="J183" s="211"/>
      <c r="K183" s="211"/>
      <c r="L183" s="211"/>
      <c r="M183" s="211"/>
      <c r="N183" s="213" t="s">
        <v>578</v>
      </c>
    </row>
    <row r="184" ht="18" customHeight="1" spans="1:14">
      <c r="A184" s="207">
        <v>102001</v>
      </c>
      <c r="B184" s="204" t="s">
        <v>654</v>
      </c>
      <c r="C184" s="205">
        <v>182.2311</v>
      </c>
      <c r="D184" s="205">
        <f t="shared" si="4"/>
        <v>182.2311</v>
      </c>
      <c r="E184" s="205">
        <v>182.2311</v>
      </c>
      <c r="F184" s="205"/>
      <c r="G184" s="205"/>
      <c r="H184" s="205"/>
      <c r="I184" s="205"/>
      <c r="J184" s="205"/>
      <c r="K184" s="205"/>
      <c r="L184" s="205"/>
      <c r="M184" s="205"/>
      <c r="N184" s="213" t="s">
        <v>578</v>
      </c>
    </row>
    <row r="185" ht="18" customHeight="1" spans="1:14">
      <c r="A185" s="207"/>
      <c r="B185" s="210" t="s">
        <v>1315</v>
      </c>
      <c r="C185" s="211">
        <v>117</v>
      </c>
      <c r="D185" s="211">
        <f t="shared" si="4"/>
        <v>117</v>
      </c>
      <c r="E185" s="211">
        <v>117</v>
      </c>
      <c r="F185" s="211"/>
      <c r="G185" s="211"/>
      <c r="H185" s="211"/>
      <c r="I185" s="211"/>
      <c r="J185" s="211"/>
      <c r="K185" s="211"/>
      <c r="L185" s="211"/>
      <c r="M185" s="211"/>
      <c r="N185" s="213" t="s">
        <v>578</v>
      </c>
    </row>
    <row r="186" ht="18" customHeight="1" spans="1:14">
      <c r="A186" s="207"/>
      <c r="B186" s="210" t="s">
        <v>1316</v>
      </c>
      <c r="C186" s="211">
        <v>5</v>
      </c>
      <c r="D186" s="211">
        <f t="shared" si="4"/>
        <v>5</v>
      </c>
      <c r="E186" s="211">
        <v>5</v>
      </c>
      <c r="F186" s="211"/>
      <c r="G186" s="211"/>
      <c r="H186" s="211"/>
      <c r="I186" s="211"/>
      <c r="J186" s="211"/>
      <c r="K186" s="211"/>
      <c r="L186" s="211"/>
      <c r="M186" s="211"/>
      <c r="N186" s="213" t="s">
        <v>578</v>
      </c>
    </row>
    <row r="187" ht="18" customHeight="1" spans="1:14">
      <c r="A187" s="207"/>
      <c r="B187" s="210" t="s">
        <v>1317</v>
      </c>
      <c r="C187" s="211">
        <v>5.2311</v>
      </c>
      <c r="D187" s="211">
        <f t="shared" si="4"/>
        <v>5.2311</v>
      </c>
      <c r="E187" s="211">
        <v>5.2311</v>
      </c>
      <c r="F187" s="211"/>
      <c r="G187" s="211"/>
      <c r="H187" s="211"/>
      <c r="I187" s="211"/>
      <c r="J187" s="211"/>
      <c r="K187" s="211"/>
      <c r="L187" s="211"/>
      <c r="M187" s="211"/>
      <c r="N187" s="213" t="s">
        <v>578</v>
      </c>
    </row>
    <row r="188" ht="18" customHeight="1" spans="1:14">
      <c r="A188" s="207"/>
      <c r="B188" s="210" t="s">
        <v>1318</v>
      </c>
      <c r="C188" s="211">
        <v>5</v>
      </c>
      <c r="D188" s="211">
        <f t="shared" si="4"/>
        <v>5</v>
      </c>
      <c r="E188" s="211">
        <v>5</v>
      </c>
      <c r="F188" s="211"/>
      <c r="G188" s="211"/>
      <c r="H188" s="211"/>
      <c r="I188" s="211"/>
      <c r="J188" s="211"/>
      <c r="K188" s="211"/>
      <c r="L188" s="211"/>
      <c r="M188" s="211"/>
      <c r="N188" s="213" t="s">
        <v>578</v>
      </c>
    </row>
    <row r="189" ht="18" customHeight="1" spans="1:14">
      <c r="A189" s="207"/>
      <c r="B189" s="210" t="s">
        <v>1319</v>
      </c>
      <c r="C189" s="211">
        <v>50</v>
      </c>
      <c r="D189" s="211">
        <f t="shared" si="4"/>
        <v>50</v>
      </c>
      <c r="E189" s="211">
        <v>50</v>
      </c>
      <c r="F189" s="211"/>
      <c r="G189" s="211"/>
      <c r="H189" s="211"/>
      <c r="I189" s="211"/>
      <c r="J189" s="211"/>
      <c r="K189" s="211"/>
      <c r="L189" s="211"/>
      <c r="M189" s="211"/>
      <c r="N189" s="213" t="s">
        <v>578</v>
      </c>
    </row>
    <row r="190" ht="18" customHeight="1" spans="1:14">
      <c r="A190" s="207">
        <v>103001</v>
      </c>
      <c r="B190" s="204" t="s">
        <v>658</v>
      </c>
      <c r="C190" s="205">
        <v>112.017013</v>
      </c>
      <c r="D190" s="205">
        <f t="shared" si="4"/>
        <v>112.017013</v>
      </c>
      <c r="E190" s="205">
        <v>112.017013</v>
      </c>
      <c r="F190" s="205"/>
      <c r="G190" s="205"/>
      <c r="H190" s="205"/>
      <c r="I190" s="205"/>
      <c r="J190" s="205"/>
      <c r="K190" s="205"/>
      <c r="L190" s="205"/>
      <c r="M190" s="205"/>
      <c r="N190" s="213" t="s">
        <v>578</v>
      </c>
    </row>
    <row r="191" ht="18" customHeight="1" spans="1:14">
      <c r="A191" s="207"/>
      <c r="B191" s="210" t="s">
        <v>1320</v>
      </c>
      <c r="C191" s="211">
        <v>21</v>
      </c>
      <c r="D191" s="211">
        <f t="shared" si="4"/>
        <v>21</v>
      </c>
      <c r="E191" s="211">
        <v>21</v>
      </c>
      <c r="F191" s="211"/>
      <c r="G191" s="211"/>
      <c r="H191" s="211"/>
      <c r="I191" s="211"/>
      <c r="J191" s="211"/>
      <c r="K191" s="211"/>
      <c r="L191" s="211"/>
      <c r="M191" s="211"/>
      <c r="N191" s="213" t="s">
        <v>578</v>
      </c>
    </row>
    <row r="192" ht="18" customHeight="1" spans="1:14">
      <c r="A192" s="207"/>
      <c r="B192" s="210" t="s">
        <v>1321</v>
      </c>
      <c r="C192" s="211">
        <v>91.017013</v>
      </c>
      <c r="D192" s="211">
        <f t="shared" si="4"/>
        <v>91.017013</v>
      </c>
      <c r="E192" s="211">
        <v>91.017013</v>
      </c>
      <c r="F192" s="211"/>
      <c r="G192" s="211"/>
      <c r="H192" s="211"/>
      <c r="I192" s="211"/>
      <c r="J192" s="211"/>
      <c r="K192" s="211"/>
      <c r="L192" s="211"/>
      <c r="M192" s="211"/>
      <c r="N192" s="213" t="s">
        <v>578</v>
      </c>
    </row>
    <row r="193" ht="18" customHeight="1" spans="1:14">
      <c r="A193" s="207">
        <v>104001</v>
      </c>
      <c r="B193" s="208" t="s">
        <v>660</v>
      </c>
      <c r="C193" s="205">
        <v>35</v>
      </c>
      <c r="D193" s="205">
        <f t="shared" si="4"/>
        <v>35</v>
      </c>
      <c r="E193" s="205">
        <v>35</v>
      </c>
      <c r="F193" s="205"/>
      <c r="G193" s="205"/>
      <c r="H193" s="205"/>
      <c r="I193" s="205"/>
      <c r="J193" s="205"/>
      <c r="K193" s="205"/>
      <c r="L193" s="205"/>
      <c r="M193" s="205"/>
      <c r="N193" s="213" t="s">
        <v>578</v>
      </c>
    </row>
    <row r="194" ht="18" customHeight="1" spans="1:14">
      <c r="A194" s="207"/>
      <c r="B194" s="210" t="s">
        <v>1322</v>
      </c>
      <c r="C194" s="211">
        <v>35</v>
      </c>
      <c r="D194" s="211">
        <f t="shared" si="4"/>
        <v>35</v>
      </c>
      <c r="E194" s="211">
        <v>35</v>
      </c>
      <c r="F194" s="211"/>
      <c r="G194" s="211"/>
      <c r="H194" s="211"/>
      <c r="I194" s="211"/>
      <c r="J194" s="211"/>
      <c r="K194" s="211"/>
      <c r="L194" s="211"/>
      <c r="M194" s="211"/>
      <c r="N194" s="213" t="s">
        <v>578</v>
      </c>
    </row>
    <row r="195" ht="18" customHeight="1" spans="1:14">
      <c r="A195" s="207">
        <v>105001</v>
      </c>
      <c r="B195" s="204" t="s">
        <v>662</v>
      </c>
      <c r="C195" s="205">
        <v>115</v>
      </c>
      <c r="D195" s="205">
        <f t="shared" si="4"/>
        <v>115</v>
      </c>
      <c r="E195" s="205">
        <v>115</v>
      </c>
      <c r="F195" s="205"/>
      <c r="G195" s="205"/>
      <c r="H195" s="205"/>
      <c r="I195" s="205"/>
      <c r="J195" s="205"/>
      <c r="K195" s="205"/>
      <c r="L195" s="205"/>
      <c r="M195" s="205"/>
      <c r="N195" s="213" t="s">
        <v>578</v>
      </c>
    </row>
    <row r="196" ht="18" customHeight="1" spans="1:14">
      <c r="A196" s="207"/>
      <c r="B196" s="210" t="s">
        <v>1323</v>
      </c>
      <c r="C196" s="211">
        <v>80</v>
      </c>
      <c r="D196" s="211">
        <f t="shared" si="4"/>
        <v>80</v>
      </c>
      <c r="E196" s="211">
        <v>80</v>
      </c>
      <c r="F196" s="211"/>
      <c r="G196" s="211"/>
      <c r="H196" s="211"/>
      <c r="I196" s="211"/>
      <c r="J196" s="211"/>
      <c r="K196" s="211"/>
      <c r="L196" s="211"/>
      <c r="M196" s="211"/>
      <c r="N196" s="213" t="s">
        <v>578</v>
      </c>
    </row>
    <row r="197" ht="18" customHeight="1" spans="1:14">
      <c r="A197" s="207"/>
      <c r="B197" s="210" t="s">
        <v>1324</v>
      </c>
      <c r="C197" s="211">
        <v>10</v>
      </c>
      <c r="D197" s="211">
        <f t="shared" si="4"/>
        <v>10</v>
      </c>
      <c r="E197" s="211">
        <v>10</v>
      </c>
      <c r="F197" s="211"/>
      <c r="G197" s="211"/>
      <c r="H197" s="211"/>
      <c r="I197" s="211"/>
      <c r="J197" s="211"/>
      <c r="K197" s="211"/>
      <c r="L197" s="211"/>
      <c r="M197" s="211"/>
      <c r="N197" s="213" t="s">
        <v>578</v>
      </c>
    </row>
    <row r="198" ht="18" customHeight="1" spans="1:14">
      <c r="A198" s="207"/>
      <c r="B198" s="210" t="s">
        <v>1325</v>
      </c>
      <c r="C198" s="211">
        <v>25</v>
      </c>
      <c r="D198" s="211">
        <f t="shared" si="4"/>
        <v>25</v>
      </c>
      <c r="E198" s="211">
        <v>25</v>
      </c>
      <c r="F198" s="211"/>
      <c r="G198" s="211"/>
      <c r="H198" s="211"/>
      <c r="I198" s="211"/>
      <c r="J198" s="211"/>
      <c r="K198" s="211"/>
      <c r="L198" s="211"/>
      <c r="M198" s="211"/>
      <c r="N198" s="213" t="s">
        <v>578</v>
      </c>
    </row>
    <row r="199" ht="18" customHeight="1" spans="1:14">
      <c r="A199" s="207"/>
      <c r="B199" s="204" t="s">
        <v>663</v>
      </c>
      <c r="C199" s="205">
        <f>SUMIF($A:$A,"20????",C:C)</f>
        <v>43122.363804</v>
      </c>
      <c r="D199" s="205">
        <f>SUMIF($A:$A,"20????",D:D)</f>
        <v>26162.103804</v>
      </c>
      <c r="E199" s="205">
        <f>SUMIF($A:$A,"20????",E:E)</f>
        <v>25090.621</v>
      </c>
      <c r="F199" s="205">
        <f>SUMIF($A:$A,"20????",F:F)</f>
        <v>1071.482804</v>
      </c>
      <c r="G199" s="205"/>
      <c r="H199" s="205">
        <f>SUMIF($A:$A,"20????",H:H)</f>
        <v>16960.26</v>
      </c>
      <c r="I199" s="205">
        <f>SUMIF($A:$A,"20????",I:I)</f>
        <v>16745.32</v>
      </c>
      <c r="J199" s="205">
        <f>SUMIF($A:$A,"20????",J:J)</f>
        <v>0</v>
      </c>
      <c r="K199" s="205">
        <f>SUMIF($A:$A,"20????",K:K)</f>
        <v>0</v>
      </c>
      <c r="L199" s="205">
        <f>SUMIF($A:$A,"20????",L:L)</f>
        <v>0</v>
      </c>
      <c r="M199" s="205">
        <f>SUMIF($A:$A,"20????",M:M)</f>
        <v>214.94</v>
      </c>
      <c r="N199" s="213" t="s">
        <v>578</v>
      </c>
    </row>
    <row r="200" ht="18" customHeight="1" spans="1:14">
      <c r="A200" s="207" t="s">
        <v>1050</v>
      </c>
      <c r="B200" s="204" t="s">
        <v>664</v>
      </c>
      <c r="C200" s="205">
        <v>7662.12</v>
      </c>
      <c r="D200" s="205">
        <f t="shared" ref="D200:D263" si="5">E200+F200</f>
        <v>7662.12</v>
      </c>
      <c r="E200" s="205">
        <v>7662.12</v>
      </c>
      <c r="F200" s="205"/>
      <c r="G200" s="205"/>
      <c r="H200" s="205"/>
      <c r="I200" s="205"/>
      <c r="J200" s="205"/>
      <c r="K200" s="205"/>
      <c r="L200" s="205"/>
      <c r="M200" s="205"/>
      <c r="N200" s="213" t="s">
        <v>578</v>
      </c>
    </row>
    <row r="201" ht="18" customHeight="1" spans="1:14">
      <c r="A201" s="207"/>
      <c r="B201" s="210" t="s">
        <v>1326</v>
      </c>
      <c r="C201" s="211">
        <v>1200</v>
      </c>
      <c r="D201" s="211">
        <f t="shared" si="5"/>
        <v>1200</v>
      </c>
      <c r="E201" s="211">
        <v>1200</v>
      </c>
      <c r="F201" s="211"/>
      <c r="G201" s="211"/>
      <c r="H201" s="211"/>
      <c r="I201" s="211"/>
      <c r="J201" s="211"/>
      <c r="K201" s="211"/>
      <c r="L201" s="211"/>
      <c r="M201" s="211"/>
      <c r="N201" s="213" t="s">
        <v>578</v>
      </c>
    </row>
    <row r="202" ht="18" customHeight="1" spans="1:14">
      <c r="A202" s="207"/>
      <c r="B202" s="210" t="s">
        <v>1327</v>
      </c>
      <c r="C202" s="211">
        <v>10</v>
      </c>
      <c r="D202" s="211">
        <f t="shared" si="5"/>
        <v>10</v>
      </c>
      <c r="E202" s="211">
        <v>10</v>
      </c>
      <c r="F202" s="211"/>
      <c r="G202" s="211"/>
      <c r="H202" s="211"/>
      <c r="I202" s="211"/>
      <c r="J202" s="211"/>
      <c r="K202" s="211"/>
      <c r="L202" s="211"/>
      <c r="M202" s="211"/>
      <c r="N202" s="213" t="s">
        <v>578</v>
      </c>
    </row>
    <row r="203" ht="18" customHeight="1" spans="1:14">
      <c r="A203" s="207"/>
      <c r="B203" s="210" t="s">
        <v>1328</v>
      </c>
      <c r="C203" s="211">
        <v>20</v>
      </c>
      <c r="D203" s="211">
        <f t="shared" si="5"/>
        <v>20</v>
      </c>
      <c r="E203" s="211">
        <v>20</v>
      </c>
      <c r="F203" s="211"/>
      <c r="G203" s="211"/>
      <c r="H203" s="211"/>
      <c r="I203" s="211"/>
      <c r="J203" s="211"/>
      <c r="K203" s="211"/>
      <c r="L203" s="211"/>
      <c r="M203" s="211"/>
      <c r="N203" s="213" t="s">
        <v>578</v>
      </c>
    </row>
    <row r="204" ht="18" customHeight="1" spans="1:14">
      <c r="A204" s="207"/>
      <c r="B204" s="210" t="s">
        <v>1329</v>
      </c>
      <c r="C204" s="211">
        <v>10</v>
      </c>
      <c r="D204" s="211">
        <f t="shared" si="5"/>
        <v>10</v>
      </c>
      <c r="E204" s="211">
        <v>10</v>
      </c>
      <c r="F204" s="211"/>
      <c r="G204" s="211"/>
      <c r="H204" s="211"/>
      <c r="I204" s="211"/>
      <c r="J204" s="211"/>
      <c r="K204" s="211"/>
      <c r="L204" s="211"/>
      <c r="M204" s="211"/>
      <c r="N204" s="213" t="s">
        <v>578</v>
      </c>
    </row>
    <row r="205" ht="18" customHeight="1" spans="1:14">
      <c r="A205" s="207"/>
      <c r="B205" s="210" t="s">
        <v>1330</v>
      </c>
      <c r="C205" s="211">
        <v>30</v>
      </c>
      <c r="D205" s="211">
        <f t="shared" si="5"/>
        <v>30</v>
      </c>
      <c r="E205" s="211">
        <v>30</v>
      </c>
      <c r="F205" s="211"/>
      <c r="G205" s="211"/>
      <c r="H205" s="211"/>
      <c r="I205" s="211"/>
      <c r="J205" s="211"/>
      <c r="K205" s="211"/>
      <c r="L205" s="211"/>
      <c r="M205" s="211"/>
      <c r="N205" s="213" t="s">
        <v>578</v>
      </c>
    </row>
    <row r="206" ht="18" customHeight="1" spans="1:14">
      <c r="A206" s="207"/>
      <c r="B206" s="210" t="s">
        <v>1331</v>
      </c>
      <c r="C206" s="211">
        <v>200</v>
      </c>
      <c r="D206" s="211">
        <f t="shared" si="5"/>
        <v>200</v>
      </c>
      <c r="E206" s="211">
        <v>200</v>
      </c>
      <c r="F206" s="211"/>
      <c r="G206" s="211"/>
      <c r="H206" s="211"/>
      <c r="I206" s="211"/>
      <c r="J206" s="211"/>
      <c r="K206" s="211"/>
      <c r="L206" s="211"/>
      <c r="M206" s="211"/>
      <c r="N206" s="213" t="s">
        <v>578</v>
      </c>
    </row>
    <row r="207" ht="18" customHeight="1" spans="1:14">
      <c r="A207" s="207"/>
      <c r="B207" s="210" t="s">
        <v>1332</v>
      </c>
      <c r="C207" s="211">
        <v>12.22</v>
      </c>
      <c r="D207" s="211">
        <f t="shared" si="5"/>
        <v>12.22</v>
      </c>
      <c r="E207" s="211">
        <v>12.22</v>
      </c>
      <c r="F207" s="211"/>
      <c r="G207" s="211"/>
      <c r="H207" s="211"/>
      <c r="I207" s="211"/>
      <c r="J207" s="211"/>
      <c r="K207" s="211"/>
      <c r="L207" s="211"/>
      <c r="M207" s="211"/>
      <c r="N207" s="213" t="s">
        <v>578</v>
      </c>
    </row>
    <row r="208" ht="18" customHeight="1" spans="1:14">
      <c r="A208" s="207"/>
      <c r="B208" s="210" t="s">
        <v>1333</v>
      </c>
      <c r="C208" s="211">
        <v>28</v>
      </c>
      <c r="D208" s="211">
        <f t="shared" si="5"/>
        <v>28</v>
      </c>
      <c r="E208" s="211">
        <v>28</v>
      </c>
      <c r="F208" s="211"/>
      <c r="G208" s="211"/>
      <c r="H208" s="211"/>
      <c r="I208" s="211"/>
      <c r="J208" s="211"/>
      <c r="K208" s="211"/>
      <c r="L208" s="211"/>
      <c r="M208" s="211"/>
      <c r="N208" s="213" t="s">
        <v>578</v>
      </c>
    </row>
    <row r="209" ht="18" customHeight="1" spans="1:14">
      <c r="A209" s="207"/>
      <c r="B209" s="210" t="s">
        <v>1334</v>
      </c>
      <c r="C209" s="211">
        <v>1700</v>
      </c>
      <c r="D209" s="211">
        <f t="shared" si="5"/>
        <v>1700</v>
      </c>
      <c r="E209" s="211">
        <v>1700</v>
      </c>
      <c r="F209" s="211"/>
      <c r="G209" s="211"/>
      <c r="H209" s="211"/>
      <c r="I209" s="211"/>
      <c r="J209" s="211"/>
      <c r="K209" s="211"/>
      <c r="L209" s="211"/>
      <c r="M209" s="211"/>
      <c r="N209" s="213" t="s">
        <v>578</v>
      </c>
    </row>
    <row r="210" ht="18" customHeight="1" spans="1:14">
      <c r="A210" s="207"/>
      <c r="B210" s="210" t="s">
        <v>1335</v>
      </c>
      <c r="C210" s="211">
        <v>34</v>
      </c>
      <c r="D210" s="211">
        <f t="shared" si="5"/>
        <v>34</v>
      </c>
      <c r="E210" s="211">
        <v>34</v>
      </c>
      <c r="F210" s="211"/>
      <c r="G210" s="211"/>
      <c r="H210" s="211"/>
      <c r="I210" s="211"/>
      <c r="J210" s="211"/>
      <c r="K210" s="211"/>
      <c r="L210" s="211"/>
      <c r="M210" s="211"/>
      <c r="N210" s="213" t="s">
        <v>578</v>
      </c>
    </row>
    <row r="211" ht="18" customHeight="1" spans="1:14">
      <c r="A211" s="207"/>
      <c r="B211" s="210" t="s">
        <v>1336</v>
      </c>
      <c r="C211" s="211">
        <v>36</v>
      </c>
      <c r="D211" s="211">
        <f t="shared" si="5"/>
        <v>36</v>
      </c>
      <c r="E211" s="211">
        <v>36</v>
      </c>
      <c r="F211" s="211"/>
      <c r="G211" s="211"/>
      <c r="H211" s="211"/>
      <c r="I211" s="211"/>
      <c r="J211" s="211"/>
      <c r="K211" s="211"/>
      <c r="L211" s="211"/>
      <c r="M211" s="211"/>
      <c r="N211" s="213" t="s">
        <v>578</v>
      </c>
    </row>
    <row r="212" ht="18" customHeight="1" spans="1:14">
      <c r="A212" s="207"/>
      <c r="B212" s="210" t="s">
        <v>1337</v>
      </c>
      <c r="C212" s="211">
        <v>20</v>
      </c>
      <c r="D212" s="211">
        <f t="shared" si="5"/>
        <v>20</v>
      </c>
      <c r="E212" s="211">
        <v>20</v>
      </c>
      <c r="F212" s="211"/>
      <c r="G212" s="211"/>
      <c r="H212" s="211"/>
      <c r="I212" s="211"/>
      <c r="J212" s="211"/>
      <c r="K212" s="211"/>
      <c r="L212" s="211"/>
      <c r="M212" s="211"/>
      <c r="N212" s="213" t="s">
        <v>578</v>
      </c>
    </row>
    <row r="213" ht="18" customHeight="1" spans="1:14">
      <c r="A213" s="207"/>
      <c r="B213" s="210" t="s">
        <v>1338</v>
      </c>
      <c r="C213" s="211">
        <v>23</v>
      </c>
      <c r="D213" s="211">
        <f t="shared" si="5"/>
        <v>23</v>
      </c>
      <c r="E213" s="211">
        <v>23</v>
      </c>
      <c r="F213" s="211"/>
      <c r="G213" s="211"/>
      <c r="H213" s="211"/>
      <c r="I213" s="211"/>
      <c r="J213" s="211"/>
      <c r="K213" s="211"/>
      <c r="L213" s="211"/>
      <c r="M213" s="211"/>
      <c r="N213" s="213" t="s">
        <v>578</v>
      </c>
    </row>
    <row r="214" ht="18" customHeight="1" spans="1:14">
      <c r="A214" s="207"/>
      <c r="B214" s="210" t="s">
        <v>1339</v>
      </c>
      <c r="C214" s="211">
        <v>5</v>
      </c>
      <c r="D214" s="211">
        <f t="shared" si="5"/>
        <v>5</v>
      </c>
      <c r="E214" s="211">
        <v>5</v>
      </c>
      <c r="F214" s="211"/>
      <c r="G214" s="211"/>
      <c r="H214" s="211"/>
      <c r="I214" s="211"/>
      <c r="J214" s="211"/>
      <c r="K214" s="211"/>
      <c r="L214" s="211"/>
      <c r="M214" s="211"/>
      <c r="N214" s="213" t="s">
        <v>578</v>
      </c>
    </row>
    <row r="215" ht="18" customHeight="1" spans="1:14">
      <c r="A215" s="207"/>
      <c r="B215" s="210" t="s">
        <v>1340</v>
      </c>
      <c r="C215" s="211">
        <v>5</v>
      </c>
      <c r="D215" s="211">
        <f t="shared" si="5"/>
        <v>5</v>
      </c>
      <c r="E215" s="211">
        <v>5</v>
      </c>
      <c r="F215" s="211"/>
      <c r="G215" s="211"/>
      <c r="H215" s="211"/>
      <c r="I215" s="211"/>
      <c r="J215" s="211"/>
      <c r="K215" s="211"/>
      <c r="L215" s="211"/>
      <c r="M215" s="211"/>
      <c r="N215" s="213" t="s">
        <v>578</v>
      </c>
    </row>
    <row r="216" ht="18" customHeight="1" spans="1:14">
      <c r="A216" s="207"/>
      <c r="B216" s="210" t="s">
        <v>1341</v>
      </c>
      <c r="C216" s="211">
        <v>33</v>
      </c>
      <c r="D216" s="211">
        <f t="shared" si="5"/>
        <v>33</v>
      </c>
      <c r="E216" s="211">
        <v>33</v>
      </c>
      <c r="F216" s="211"/>
      <c r="G216" s="211"/>
      <c r="H216" s="211"/>
      <c r="I216" s="211"/>
      <c r="J216" s="211"/>
      <c r="K216" s="211"/>
      <c r="L216" s="211"/>
      <c r="M216" s="211"/>
      <c r="N216" s="213" t="s">
        <v>578</v>
      </c>
    </row>
    <row r="217" ht="18" customHeight="1" spans="1:14">
      <c r="A217" s="207"/>
      <c r="B217" s="210" t="s">
        <v>1342</v>
      </c>
      <c r="C217" s="211">
        <v>1600</v>
      </c>
      <c r="D217" s="211">
        <f t="shared" si="5"/>
        <v>1600</v>
      </c>
      <c r="E217" s="211">
        <v>1600</v>
      </c>
      <c r="F217" s="211"/>
      <c r="G217" s="211"/>
      <c r="H217" s="211"/>
      <c r="I217" s="211"/>
      <c r="J217" s="211"/>
      <c r="K217" s="211"/>
      <c r="L217" s="211"/>
      <c r="M217" s="211"/>
      <c r="N217" s="213" t="s">
        <v>578</v>
      </c>
    </row>
    <row r="218" ht="18" customHeight="1" spans="1:14">
      <c r="A218" s="207"/>
      <c r="B218" s="210" t="s">
        <v>1343</v>
      </c>
      <c r="C218" s="211">
        <v>122.5</v>
      </c>
      <c r="D218" s="211">
        <f t="shared" si="5"/>
        <v>122.5</v>
      </c>
      <c r="E218" s="211">
        <v>122.5</v>
      </c>
      <c r="F218" s="211"/>
      <c r="G218" s="211"/>
      <c r="H218" s="211"/>
      <c r="I218" s="211"/>
      <c r="J218" s="211"/>
      <c r="K218" s="211"/>
      <c r="L218" s="211"/>
      <c r="M218" s="211"/>
      <c r="N218" s="213" t="s">
        <v>578</v>
      </c>
    </row>
    <row r="219" ht="18" customHeight="1" spans="1:14">
      <c r="A219" s="207"/>
      <c r="B219" s="210" t="s">
        <v>1344</v>
      </c>
      <c r="C219" s="211">
        <v>300</v>
      </c>
      <c r="D219" s="211">
        <f t="shared" si="5"/>
        <v>300</v>
      </c>
      <c r="E219" s="211">
        <v>300</v>
      </c>
      <c r="F219" s="211"/>
      <c r="G219" s="211"/>
      <c r="H219" s="211"/>
      <c r="I219" s="211"/>
      <c r="J219" s="211"/>
      <c r="K219" s="211"/>
      <c r="L219" s="211"/>
      <c r="M219" s="211"/>
      <c r="N219" s="213" t="s">
        <v>578</v>
      </c>
    </row>
    <row r="220" ht="18" customHeight="1" spans="1:14">
      <c r="A220" s="207"/>
      <c r="B220" s="210" t="s">
        <v>1345</v>
      </c>
      <c r="C220" s="211">
        <v>8</v>
      </c>
      <c r="D220" s="211">
        <f t="shared" si="5"/>
        <v>8</v>
      </c>
      <c r="E220" s="211">
        <v>8</v>
      </c>
      <c r="F220" s="211"/>
      <c r="G220" s="211"/>
      <c r="H220" s="211"/>
      <c r="I220" s="211"/>
      <c r="J220" s="211"/>
      <c r="K220" s="211"/>
      <c r="L220" s="211"/>
      <c r="M220" s="211"/>
      <c r="N220" s="213" t="s">
        <v>578</v>
      </c>
    </row>
    <row r="221" ht="18" customHeight="1" spans="1:14">
      <c r="A221" s="207"/>
      <c r="B221" s="210" t="s">
        <v>1346</v>
      </c>
      <c r="C221" s="211">
        <v>2000</v>
      </c>
      <c r="D221" s="211">
        <f t="shared" si="5"/>
        <v>2000</v>
      </c>
      <c r="E221" s="211">
        <v>2000</v>
      </c>
      <c r="F221" s="211"/>
      <c r="G221" s="211"/>
      <c r="H221" s="211"/>
      <c r="I221" s="211"/>
      <c r="J221" s="211"/>
      <c r="K221" s="211"/>
      <c r="L221" s="211"/>
      <c r="M221" s="211"/>
      <c r="N221" s="213" t="s">
        <v>578</v>
      </c>
    </row>
    <row r="222" ht="18" customHeight="1" spans="1:14">
      <c r="A222" s="207"/>
      <c r="B222" s="210" t="s">
        <v>1347</v>
      </c>
      <c r="C222" s="211">
        <v>17.4</v>
      </c>
      <c r="D222" s="211">
        <f t="shared" si="5"/>
        <v>17.4</v>
      </c>
      <c r="E222" s="211">
        <v>17.4</v>
      </c>
      <c r="F222" s="211"/>
      <c r="G222" s="211"/>
      <c r="H222" s="211"/>
      <c r="I222" s="211"/>
      <c r="J222" s="211"/>
      <c r="K222" s="211"/>
      <c r="L222" s="211"/>
      <c r="M222" s="211"/>
      <c r="N222" s="213" t="s">
        <v>578</v>
      </c>
    </row>
    <row r="223" ht="18" customHeight="1" spans="1:14">
      <c r="A223" s="207"/>
      <c r="B223" s="210" t="s">
        <v>1348</v>
      </c>
      <c r="C223" s="211">
        <v>248</v>
      </c>
      <c r="D223" s="211">
        <f t="shared" si="5"/>
        <v>248</v>
      </c>
      <c r="E223" s="211">
        <v>248</v>
      </c>
      <c r="F223" s="211"/>
      <c r="G223" s="211"/>
      <c r="H223" s="211"/>
      <c r="I223" s="211"/>
      <c r="J223" s="211"/>
      <c r="K223" s="211"/>
      <c r="L223" s="211"/>
      <c r="M223" s="211"/>
      <c r="N223" s="213" t="s">
        <v>578</v>
      </c>
    </row>
    <row r="224" ht="18" customHeight="1" spans="1:14">
      <c r="A224" s="207" t="s">
        <v>1051</v>
      </c>
      <c r="B224" s="204" t="s">
        <v>665</v>
      </c>
      <c r="C224" s="205">
        <v>63.5</v>
      </c>
      <c r="D224" s="205">
        <f t="shared" si="5"/>
        <v>63.5</v>
      </c>
      <c r="E224" s="205">
        <v>63.5</v>
      </c>
      <c r="F224" s="205"/>
      <c r="G224" s="205"/>
      <c r="H224" s="205"/>
      <c r="I224" s="205"/>
      <c r="J224" s="205"/>
      <c r="K224" s="205"/>
      <c r="L224" s="205"/>
      <c r="M224" s="205"/>
      <c r="N224" s="213" t="s">
        <v>578</v>
      </c>
    </row>
    <row r="225" ht="18" customHeight="1" spans="1:14">
      <c r="A225" s="207"/>
      <c r="B225" s="210" t="s">
        <v>1349</v>
      </c>
      <c r="C225" s="211">
        <v>30</v>
      </c>
      <c r="D225" s="211">
        <f t="shared" si="5"/>
        <v>30</v>
      </c>
      <c r="E225" s="211">
        <v>30</v>
      </c>
      <c r="F225" s="211"/>
      <c r="G225" s="211"/>
      <c r="H225" s="211"/>
      <c r="I225" s="211"/>
      <c r="J225" s="211"/>
      <c r="K225" s="211"/>
      <c r="L225" s="211"/>
      <c r="M225" s="211"/>
      <c r="N225" s="213" t="s">
        <v>578</v>
      </c>
    </row>
    <row r="226" ht="18" customHeight="1" spans="1:14">
      <c r="A226" s="207"/>
      <c r="B226" s="210" t="s">
        <v>1350</v>
      </c>
      <c r="C226" s="211">
        <v>17.5</v>
      </c>
      <c r="D226" s="211">
        <f t="shared" si="5"/>
        <v>17.5</v>
      </c>
      <c r="E226" s="211">
        <v>17.5</v>
      </c>
      <c r="F226" s="211"/>
      <c r="G226" s="211"/>
      <c r="H226" s="211"/>
      <c r="I226" s="211"/>
      <c r="J226" s="211"/>
      <c r="K226" s="211"/>
      <c r="L226" s="211"/>
      <c r="M226" s="211"/>
      <c r="N226" s="213" t="s">
        <v>578</v>
      </c>
    </row>
    <row r="227" ht="18" customHeight="1" spans="1:14">
      <c r="A227" s="207"/>
      <c r="B227" s="210" t="s">
        <v>1351</v>
      </c>
      <c r="C227" s="211">
        <v>13</v>
      </c>
      <c r="D227" s="211">
        <f t="shared" si="5"/>
        <v>13</v>
      </c>
      <c r="E227" s="211">
        <v>13</v>
      </c>
      <c r="F227" s="211"/>
      <c r="G227" s="211"/>
      <c r="H227" s="211"/>
      <c r="I227" s="211"/>
      <c r="J227" s="211"/>
      <c r="K227" s="211"/>
      <c r="L227" s="211"/>
      <c r="M227" s="211"/>
      <c r="N227" s="213" t="s">
        <v>578</v>
      </c>
    </row>
    <row r="228" ht="18" customHeight="1" spans="1:14">
      <c r="A228" s="207"/>
      <c r="B228" s="210" t="s">
        <v>1352</v>
      </c>
      <c r="C228" s="211">
        <v>3</v>
      </c>
      <c r="D228" s="211">
        <f t="shared" si="5"/>
        <v>3</v>
      </c>
      <c r="E228" s="211">
        <v>3</v>
      </c>
      <c r="F228" s="211"/>
      <c r="G228" s="211"/>
      <c r="H228" s="211"/>
      <c r="I228" s="211"/>
      <c r="J228" s="211"/>
      <c r="K228" s="211"/>
      <c r="L228" s="211"/>
      <c r="M228" s="211"/>
      <c r="N228" s="213" t="s">
        <v>578</v>
      </c>
    </row>
    <row r="229" ht="18" customHeight="1" spans="1:14">
      <c r="A229" s="207" t="s">
        <v>1052</v>
      </c>
      <c r="B229" s="204" t="s">
        <v>666</v>
      </c>
      <c r="C229" s="205">
        <v>1797.482804</v>
      </c>
      <c r="D229" s="205">
        <f t="shared" si="5"/>
        <v>1797.482804</v>
      </c>
      <c r="E229" s="205">
        <v>726</v>
      </c>
      <c r="F229" s="205">
        <v>1071.482804</v>
      </c>
      <c r="G229" s="205"/>
      <c r="H229" s="205"/>
      <c r="I229" s="205"/>
      <c r="J229" s="205"/>
      <c r="K229" s="205"/>
      <c r="L229" s="205"/>
      <c r="M229" s="205"/>
      <c r="N229" s="213" t="s">
        <v>578</v>
      </c>
    </row>
    <row r="230" ht="18" customHeight="1" spans="1:14">
      <c r="A230" s="207"/>
      <c r="B230" s="210" t="s">
        <v>1353</v>
      </c>
      <c r="C230" s="211">
        <v>1002.982804</v>
      </c>
      <c r="D230" s="211">
        <f t="shared" si="5"/>
        <v>1002.982804</v>
      </c>
      <c r="E230" s="211"/>
      <c r="F230" s="211">
        <v>1002.982804</v>
      </c>
      <c r="G230" s="211"/>
      <c r="H230" s="211"/>
      <c r="I230" s="211"/>
      <c r="J230" s="211"/>
      <c r="K230" s="211"/>
      <c r="L230" s="211"/>
      <c r="M230" s="211"/>
      <c r="N230" s="213" t="s">
        <v>578</v>
      </c>
    </row>
    <row r="231" ht="18" customHeight="1" spans="1:14">
      <c r="A231" s="207"/>
      <c r="B231" s="210" t="s">
        <v>1354</v>
      </c>
      <c r="C231" s="211">
        <v>600</v>
      </c>
      <c r="D231" s="211">
        <f t="shared" si="5"/>
        <v>600</v>
      </c>
      <c r="E231" s="211">
        <v>600</v>
      </c>
      <c r="F231" s="211"/>
      <c r="G231" s="211"/>
      <c r="H231" s="211"/>
      <c r="I231" s="211"/>
      <c r="J231" s="211"/>
      <c r="K231" s="211"/>
      <c r="L231" s="211"/>
      <c r="M231" s="211"/>
      <c r="N231" s="213" t="s">
        <v>578</v>
      </c>
    </row>
    <row r="232" ht="18" customHeight="1" spans="1:14">
      <c r="A232" s="207"/>
      <c r="B232" s="210" t="s">
        <v>1355</v>
      </c>
      <c r="C232" s="211">
        <v>126</v>
      </c>
      <c r="D232" s="211">
        <f t="shared" si="5"/>
        <v>126</v>
      </c>
      <c r="E232" s="211">
        <v>126</v>
      </c>
      <c r="F232" s="211"/>
      <c r="G232" s="211"/>
      <c r="H232" s="211"/>
      <c r="I232" s="211"/>
      <c r="J232" s="211"/>
      <c r="K232" s="211"/>
      <c r="L232" s="211"/>
      <c r="M232" s="211"/>
      <c r="N232" s="213" t="s">
        <v>578</v>
      </c>
    </row>
    <row r="233" ht="18" customHeight="1" spans="1:14">
      <c r="A233" s="207"/>
      <c r="B233" s="210" t="s">
        <v>1356</v>
      </c>
      <c r="C233" s="211">
        <v>68.5</v>
      </c>
      <c r="D233" s="211">
        <f t="shared" si="5"/>
        <v>68.5</v>
      </c>
      <c r="E233" s="211"/>
      <c r="F233" s="211">
        <v>68.5</v>
      </c>
      <c r="G233" s="211"/>
      <c r="H233" s="211"/>
      <c r="I233" s="211"/>
      <c r="J233" s="211"/>
      <c r="K233" s="211"/>
      <c r="L233" s="211"/>
      <c r="M233" s="211"/>
      <c r="N233" s="213" t="s">
        <v>578</v>
      </c>
    </row>
    <row r="234" ht="18" customHeight="1" spans="1:14">
      <c r="A234" s="207" t="s">
        <v>1053</v>
      </c>
      <c r="B234" s="204" t="s">
        <v>667</v>
      </c>
      <c r="C234" s="205">
        <v>1735</v>
      </c>
      <c r="D234" s="205">
        <f t="shared" si="5"/>
        <v>1735</v>
      </c>
      <c r="E234" s="205">
        <v>1735</v>
      </c>
      <c r="F234" s="205"/>
      <c r="G234" s="205"/>
      <c r="H234" s="205"/>
      <c r="I234" s="205"/>
      <c r="J234" s="205"/>
      <c r="K234" s="205"/>
      <c r="L234" s="205"/>
      <c r="M234" s="205"/>
      <c r="N234" s="213" t="s">
        <v>578</v>
      </c>
    </row>
    <row r="235" ht="18" customHeight="1" spans="1:14">
      <c r="A235" s="207"/>
      <c r="B235" s="210" t="s">
        <v>1357</v>
      </c>
      <c r="C235" s="211">
        <v>615</v>
      </c>
      <c r="D235" s="211">
        <f t="shared" si="5"/>
        <v>615</v>
      </c>
      <c r="E235" s="211">
        <v>615</v>
      </c>
      <c r="F235" s="211"/>
      <c r="G235" s="211"/>
      <c r="H235" s="211"/>
      <c r="I235" s="211"/>
      <c r="J235" s="211"/>
      <c r="K235" s="211"/>
      <c r="L235" s="211"/>
      <c r="M235" s="211"/>
      <c r="N235" s="213" t="s">
        <v>578</v>
      </c>
    </row>
    <row r="236" ht="18" customHeight="1" spans="1:14">
      <c r="A236" s="207"/>
      <c r="B236" s="210" t="s">
        <v>1358</v>
      </c>
      <c r="C236" s="211">
        <v>140</v>
      </c>
      <c r="D236" s="211">
        <f t="shared" si="5"/>
        <v>140</v>
      </c>
      <c r="E236" s="211">
        <v>140</v>
      </c>
      <c r="F236" s="211"/>
      <c r="G236" s="211"/>
      <c r="H236" s="211"/>
      <c r="I236" s="211"/>
      <c r="J236" s="211"/>
      <c r="K236" s="211"/>
      <c r="L236" s="211"/>
      <c r="M236" s="211"/>
      <c r="N236" s="213" t="s">
        <v>578</v>
      </c>
    </row>
    <row r="237" ht="18" customHeight="1" spans="1:14">
      <c r="A237" s="207"/>
      <c r="B237" s="210" t="s">
        <v>1359</v>
      </c>
      <c r="C237" s="211">
        <v>140</v>
      </c>
      <c r="D237" s="211">
        <f t="shared" si="5"/>
        <v>140</v>
      </c>
      <c r="E237" s="211">
        <v>140</v>
      </c>
      <c r="F237" s="211"/>
      <c r="G237" s="211"/>
      <c r="H237" s="211"/>
      <c r="I237" s="211"/>
      <c r="J237" s="211"/>
      <c r="K237" s="211"/>
      <c r="L237" s="211"/>
      <c r="M237" s="211"/>
      <c r="N237" s="213" t="s">
        <v>578</v>
      </c>
    </row>
    <row r="238" ht="18" customHeight="1" spans="1:14">
      <c r="A238" s="207"/>
      <c r="B238" s="210" t="s">
        <v>1360</v>
      </c>
      <c r="C238" s="211">
        <v>840</v>
      </c>
      <c r="D238" s="211">
        <f t="shared" si="5"/>
        <v>840</v>
      </c>
      <c r="E238" s="211">
        <v>840</v>
      </c>
      <c r="F238" s="211"/>
      <c r="G238" s="211"/>
      <c r="H238" s="211"/>
      <c r="I238" s="211"/>
      <c r="J238" s="211"/>
      <c r="K238" s="211"/>
      <c r="L238" s="211"/>
      <c r="M238" s="211"/>
      <c r="N238" s="213" t="s">
        <v>578</v>
      </c>
    </row>
    <row r="239" ht="18" customHeight="1" spans="1:14">
      <c r="A239" s="207" t="s">
        <v>1054</v>
      </c>
      <c r="B239" s="204" t="s">
        <v>668</v>
      </c>
      <c r="C239" s="205">
        <v>40</v>
      </c>
      <c r="D239" s="205">
        <f t="shared" si="5"/>
        <v>40</v>
      </c>
      <c r="E239" s="205">
        <v>40</v>
      </c>
      <c r="F239" s="205"/>
      <c r="G239" s="205"/>
      <c r="H239" s="205"/>
      <c r="I239" s="205"/>
      <c r="J239" s="205"/>
      <c r="K239" s="205"/>
      <c r="L239" s="205"/>
      <c r="M239" s="205"/>
      <c r="N239" s="213" t="s">
        <v>578</v>
      </c>
    </row>
    <row r="240" ht="18" customHeight="1" spans="1:14">
      <c r="A240" s="207"/>
      <c r="B240" s="210" t="s">
        <v>1361</v>
      </c>
      <c r="C240" s="211">
        <v>40</v>
      </c>
      <c r="D240" s="211">
        <f t="shared" si="5"/>
        <v>40</v>
      </c>
      <c r="E240" s="211">
        <v>40</v>
      </c>
      <c r="F240" s="211"/>
      <c r="G240" s="211"/>
      <c r="H240" s="211"/>
      <c r="I240" s="211"/>
      <c r="J240" s="211"/>
      <c r="K240" s="211"/>
      <c r="L240" s="211"/>
      <c r="M240" s="211"/>
      <c r="N240" s="213" t="s">
        <v>578</v>
      </c>
    </row>
    <row r="241" ht="18" customHeight="1" spans="1:14">
      <c r="A241" s="207" t="s">
        <v>1055</v>
      </c>
      <c r="B241" s="204" t="s">
        <v>669</v>
      </c>
      <c r="C241" s="205">
        <v>1256.3</v>
      </c>
      <c r="D241" s="205">
        <f t="shared" si="5"/>
        <v>1256.3</v>
      </c>
      <c r="E241" s="205">
        <v>1256.3</v>
      </c>
      <c r="F241" s="205"/>
      <c r="G241" s="205"/>
      <c r="H241" s="205"/>
      <c r="I241" s="205"/>
      <c r="J241" s="205"/>
      <c r="K241" s="205"/>
      <c r="L241" s="205"/>
      <c r="M241" s="205"/>
      <c r="N241" s="213" t="s">
        <v>578</v>
      </c>
    </row>
    <row r="242" ht="18" customHeight="1" spans="1:14">
      <c r="A242" s="207"/>
      <c r="B242" s="210" t="s">
        <v>1362</v>
      </c>
      <c r="C242" s="211">
        <v>10</v>
      </c>
      <c r="D242" s="211">
        <f t="shared" si="5"/>
        <v>10</v>
      </c>
      <c r="E242" s="211">
        <v>10</v>
      </c>
      <c r="F242" s="211"/>
      <c r="G242" s="211"/>
      <c r="H242" s="211"/>
      <c r="I242" s="211"/>
      <c r="J242" s="211"/>
      <c r="K242" s="211"/>
      <c r="L242" s="211"/>
      <c r="M242" s="211"/>
      <c r="N242" s="213" t="s">
        <v>578</v>
      </c>
    </row>
    <row r="243" ht="18" customHeight="1" spans="1:14">
      <c r="A243" s="207"/>
      <c r="B243" s="210" t="s">
        <v>1363</v>
      </c>
      <c r="C243" s="211">
        <v>8</v>
      </c>
      <c r="D243" s="211">
        <f t="shared" si="5"/>
        <v>8</v>
      </c>
      <c r="E243" s="211">
        <v>8</v>
      </c>
      <c r="F243" s="211"/>
      <c r="G243" s="211"/>
      <c r="H243" s="211"/>
      <c r="I243" s="211"/>
      <c r="J243" s="211"/>
      <c r="K243" s="211"/>
      <c r="L243" s="211"/>
      <c r="M243" s="211"/>
      <c r="N243" s="213" t="s">
        <v>578</v>
      </c>
    </row>
    <row r="244" ht="18" customHeight="1" spans="1:14">
      <c r="A244" s="207"/>
      <c r="B244" s="210" t="s">
        <v>1364</v>
      </c>
      <c r="C244" s="211">
        <v>3</v>
      </c>
      <c r="D244" s="211">
        <f t="shared" si="5"/>
        <v>3</v>
      </c>
      <c r="E244" s="211">
        <v>3</v>
      </c>
      <c r="F244" s="211"/>
      <c r="G244" s="211"/>
      <c r="H244" s="211"/>
      <c r="I244" s="211"/>
      <c r="J244" s="211"/>
      <c r="K244" s="211"/>
      <c r="L244" s="211"/>
      <c r="M244" s="211"/>
      <c r="N244" s="213" t="s">
        <v>578</v>
      </c>
    </row>
    <row r="245" ht="18" customHeight="1" spans="1:14">
      <c r="A245" s="207"/>
      <c r="B245" s="210" t="s">
        <v>1365</v>
      </c>
      <c r="C245" s="211">
        <v>45</v>
      </c>
      <c r="D245" s="211">
        <f t="shared" si="5"/>
        <v>45</v>
      </c>
      <c r="E245" s="211">
        <v>45</v>
      </c>
      <c r="F245" s="211"/>
      <c r="G245" s="211"/>
      <c r="H245" s="211"/>
      <c r="I245" s="211"/>
      <c r="J245" s="211"/>
      <c r="K245" s="211"/>
      <c r="L245" s="211"/>
      <c r="M245" s="211"/>
      <c r="N245" s="213" t="s">
        <v>578</v>
      </c>
    </row>
    <row r="246" ht="18" customHeight="1" spans="1:14">
      <c r="A246" s="207"/>
      <c r="B246" s="210" t="s">
        <v>1366</v>
      </c>
      <c r="C246" s="211">
        <v>75</v>
      </c>
      <c r="D246" s="211">
        <f t="shared" si="5"/>
        <v>75</v>
      </c>
      <c r="E246" s="211">
        <v>75</v>
      </c>
      <c r="F246" s="211"/>
      <c r="G246" s="211"/>
      <c r="H246" s="211"/>
      <c r="I246" s="211"/>
      <c r="J246" s="211"/>
      <c r="K246" s="211"/>
      <c r="L246" s="211"/>
      <c r="M246" s="211"/>
      <c r="N246" s="213" t="s">
        <v>578</v>
      </c>
    </row>
    <row r="247" ht="18" customHeight="1" spans="1:14">
      <c r="A247" s="207"/>
      <c r="B247" s="210" t="s">
        <v>1201</v>
      </c>
      <c r="C247" s="211">
        <v>105</v>
      </c>
      <c r="D247" s="211">
        <f t="shared" si="5"/>
        <v>105</v>
      </c>
      <c r="E247" s="211">
        <v>105</v>
      </c>
      <c r="F247" s="211"/>
      <c r="G247" s="211"/>
      <c r="H247" s="211"/>
      <c r="I247" s="211"/>
      <c r="J247" s="211"/>
      <c r="K247" s="211"/>
      <c r="L247" s="211"/>
      <c r="M247" s="211"/>
      <c r="N247" s="213" t="s">
        <v>578</v>
      </c>
    </row>
    <row r="248" ht="18" customHeight="1" spans="1:14">
      <c r="A248" s="207"/>
      <c r="B248" s="210" t="s">
        <v>1367</v>
      </c>
      <c r="C248" s="211">
        <v>23.3</v>
      </c>
      <c r="D248" s="211">
        <f t="shared" si="5"/>
        <v>23.3</v>
      </c>
      <c r="E248" s="211">
        <v>23.3</v>
      </c>
      <c r="F248" s="211"/>
      <c r="G248" s="211"/>
      <c r="H248" s="211"/>
      <c r="I248" s="211"/>
      <c r="J248" s="211"/>
      <c r="K248" s="211"/>
      <c r="L248" s="211"/>
      <c r="M248" s="211"/>
      <c r="N248" s="213" t="s">
        <v>578</v>
      </c>
    </row>
    <row r="249" ht="18" customHeight="1" spans="1:14">
      <c r="A249" s="207"/>
      <c r="B249" s="210" t="s">
        <v>1368</v>
      </c>
      <c r="C249" s="211">
        <v>100</v>
      </c>
      <c r="D249" s="211">
        <f t="shared" si="5"/>
        <v>100</v>
      </c>
      <c r="E249" s="211">
        <v>100</v>
      </c>
      <c r="F249" s="211"/>
      <c r="G249" s="211"/>
      <c r="H249" s="211"/>
      <c r="I249" s="211"/>
      <c r="J249" s="211"/>
      <c r="K249" s="211"/>
      <c r="L249" s="211"/>
      <c r="M249" s="211"/>
      <c r="N249" s="213" t="s">
        <v>578</v>
      </c>
    </row>
    <row r="250" ht="18" customHeight="1" spans="1:14">
      <c r="A250" s="207"/>
      <c r="B250" s="210" t="s">
        <v>1369</v>
      </c>
      <c r="C250" s="211">
        <v>3</v>
      </c>
      <c r="D250" s="211">
        <f t="shared" si="5"/>
        <v>3</v>
      </c>
      <c r="E250" s="211">
        <v>3</v>
      </c>
      <c r="F250" s="211"/>
      <c r="G250" s="211"/>
      <c r="H250" s="211"/>
      <c r="I250" s="211"/>
      <c r="J250" s="211"/>
      <c r="K250" s="211"/>
      <c r="L250" s="211"/>
      <c r="M250" s="211"/>
      <c r="N250" s="213" t="s">
        <v>578</v>
      </c>
    </row>
    <row r="251" ht="18" customHeight="1" spans="1:14">
      <c r="A251" s="207"/>
      <c r="B251" s="210" t="s">
        <v>1370</v>
      </c>
      <c r="C251" s="211">
        <v>18</v>
      </c>
      <c r="D251" s="211">
        <f t="shared" si="5"/>
        <v>18</v>
      </c>
      <c r="E251" s="211">
        <v>18</v>
      </c>
      <c r="F251" s="211"/>
      <c r="G251" s="211"/>
      <c r="H251" s="211"/>
      <c r="I251" s="211"/>
      <c r="J251" s="211"/>
      <c r="K251" s="211"/>
      <c r="L251" s="211"/>
      <c r="M251" s="211"/>
      <c r="N251" s="213" t="s">
        <v>578</v>
      </c>
    </row>
    <row r="252" ht="18" customHeight="1" spans="1:14">
      <c r="A252" s="207"/>
      <c r="B252" s="210" t="s">
        <v>1371</v>
      </c>
      <c r="C252" s="211">
        <v>400</v>
      </c>
      <c r="D252" s="211">
        <f t="shared" si="5"/>
        <v>400</v>
      </c>
      <c r="E252" s="211">
        <v>400</v>
      </c>
      <c r="F252" s="211"/>
      <c r="G252" s="211"/>
      <c r="H252" s="211"/>
      <c r="I252" s="211"/>
      <c r="J252" s="211"/>
      <c r="K252" s="211"/>
      <c r="L252" s="211"/>
      <c r="M252" s="211"/>
      <c r="N252" s="213" t="s">
        <v>578</v>
      </c>
    </row>
    <row r="253" ht="18" customHeight="1" spans="1:14">
      <c r="A253" s="207"/>
      <c r="B253" s="210" t="s">
        <v>1372</v>
      </c>
      <c r="C253" s="211">
        <v>52</v>
      </c>
      <c r="D253" s="211">
        <f t="shared" si="5"/>
        <v>52</v>
      </c>
      <c r="E253" s="211">
        <v>52</v>
      </c>
      <c r="F253" s="211"/>
      <c r="G253" s="211"/>
      <c r="H253" s="211"/>
      <c r="I253" s="211"/>
      <c r="J253" s="211"/>
      <c r="K253" s="211"/>
      <c r="L253" s="211"/>
      <c r="M253" s="211"/>
      <c r="N253" s="213" t="s">
        <v>578</v>
      </c>
    </row>
    <row r="254" ht="18" customHeight="1" spans="1:14">
      <c r="A254" s="207"/>
      <c r="B254" s="210" t="s">
        <v>1373</v>
      </c>
      <c r="C254" s="211">
        <v>84</v>
      </c>
      <c r="D254" s="211">
        <f t="shared" si="5"/>
        <v>84</v>
      </c>
      <c r="E254" s="211">
        <v>84</v>
      </c>
      <c r="F254" s="211"/>
      <c r="G254" s="211"/>
      <c r="H254" s="211"/>
      <c r="I254" s="211"/>
      <c r="J254" s="211"/>
      <c r="K254" s="211"/>
      <c r="L254" s="211"/>
      <c r="M254" s="211"/>
      <c r="N254" s="213" t="s">
        <v>578</v>
      </c>
    </row>
    <row r="255" ht="18" customHeight="1" spans="1:14">
      <c r="A255" s="207"/>
      <c r="B255" s="210" t="s">
        <v>1374</v>
      </c>
      <c r="C255" s="211">
        <v>30</v>
      </c>
      <c r="D255" s="211">
        <f t="shared" si="5"/>
        <v>30</v>
      </c>
      <c r="E255" s="211">
        <v>30</v>
      </c>
      <c r="F255" s="211"/>
      <c r="G255" s="211"/>
      <c r="H255" s="211"/>
      <c r="I255" s="211"/>
      <c r="J255" s="211"/>
      <c r="K255" s="211"/>
      <c r="L255" s="211"/>
      <c r="M255" s="211"/>
      <c r="N255" s="213" t="s">
        <v>578</v>
      </c>
    </row>
    <row r="256" ht="18" customHeight="1" spans="1:14">
      <c r="A256" s="207"/>
      <c r="B256" s="210" t="s">
        <v>1375</v>
      </c>
      <c r="C256" s="211">
        <v>10</v>
      </c>
      <c r="D256" s="211">
        <f t="shared" si="5"/>
        <v>10</v>
      </c>
      <c r="E256" s="211">
        <v>10</v>
      </c>
      <c r="F256" s="211"/>
      <c r="G256" s="211"/>
      <c r="H256" s="211"/>
      <c r="I256" s="211"/>
      <c r="J256" s="211"/>
      <c r="K256" s="211"/>
      <c r="L256" s="211"/>
      <c r="M256" s="211"/>
      <c r="N256" s="213" t="s">
        <v>578</v>
      </c>
    </row>
    <row r="257" ht="18" customHeight="1" spans="1:14">
      <c r="A257" s="207"/>
      <c r="B257" s="210" t="s">
        <v>1376</v>
      </c>
      <c r="C257" s="211">
        <v>5</v>
      </c>
      <c r="D257" s="211">
        <f t="shared" si="5"/>
        <v>5</v>
      </c>
      <c r="E257" s="211">
        <v>5</v>
      </c>
      <c r="F257" s="211"/>
      <c r="G257" s="211"/>
      <c r="H257" s="211"/>
      <c r="I257" s="211"/>
      <c r="J257" s="211"/>
      <c r="K257" s="211"/>
      <c r="L257" s="211"/>
      <c r="M257" s="211"/>
      <c r="N257" s="213" t="s">
        <v>578</v>
      </c>
    </row>
    <row r="258" ht="18" customHeight="1" spans="1:14">
      <c r="A258" s="207"/>
      <c r="B258" s="210" t="s">
        <v>1377</v>
      </c>
      <c r="C258" s="211">
        <v>40</v>
      </c>
      <c r="D258" s="211">
        <f t="shared" si="5"/>
        <v>40</v>
      </c>
      <c r="E258" s="211">
        <v>40</v>
      </c>
      <c r="F258" s="211"/>
      <c r="G258" s="211"/>
      <c r="H258" s="211"/>
      <c r="I258" s="211"/>
      <c r="J258" s="211"/>
      <c r="K258" s="211"/>
      <c r="L258" s="211"/>
      <c r="M258" s="211"/>
      <c r="N258" s="213" t="s">
        <v>578</v>
      </c>
    </row>
    <row r="259" ht="18" customHeight="1" spans="1:14">
      <c r="A259" s="207"/>
      <c r="B259" s="210" t="s">
        <v>1378</v>
      </c>
      <c r="C259" s="211">
        <v>50</v>
      </c>
      <c r="D259" s="211">
        <f t="shared" si="5"/>
        <v>50</v>
      </c>
      <c r="E259" s="211">
        <v>50</v>
      </c>
      <c r="F259" s="211"/>
      <c r="G259" s="211"/>
      <c r="H259" s="211"/>
      <c r="I259" s="211"/>
      <c r="J259" s="211"/>
      <c r="K259" s="211"/>
      <c r="L259" s="211"/>
      <c r="M259" s="211"/>
      <c r="N259" s="213" t="s">
        <v>578</v>
      </c>
    </row>
    <row r="260" ht="18" customHeight="1" spans="1:14">
      <c r="A260" s="207"/>
      <c r="B260" s="210" t="s">
        <v>1379</v>
      </c>
      <c r="C260" s="211">
        <v>15</v>
      </c>
      <c r="D260" s="211">
        <f t="shared" si="5"/>
        <v>15</v>
      </c>
      <c r="E260" s="211">
        <v>15</v>
      </c>
      <c r="F260" s="211"/>
      <c r="G260" s="211"/>
      <c r="H260" s="211"/>
      <c r="I260" s="211"/>
      <c r="J260" s="211"/>
      <c r="K260" s="211"/>
      <c r="L260" s="211"/>
      <c r="M260" s="211"/>
      <c r="N260" s="213" t="s">
        <v>578</v>
      </c>
    </row>
    <row r="261" ht="18" customHeight="1" spans="1:14">
      <c r="A261" s="207"/>
      <c r="B261" s="210" t="s">
        <v>1380</v>
      </c>
      <c r="C261" s="211">
        <v>20</v>
      </c>
      <c r="D261" s="211">
        <f t="shared" si="5"/>
        <v>20</v>
      </c>
      <c r="E261" s="211">
        <v>20</v>
      </c>
      <c r="F261" s="211"/>
      <c r="G261" s="211"/>
      <c r="H261" s="211"/>
      <c r="I261" s="211"/>
      <c r="J261" s="211"/>
      <c r="K261" s="211"/>
      <c r="L261" s="211"/>
      <c r="M261" s="211"/>
      <c r="N261" s="213" t="s">
        <v>578</v>
      </c>
    </row>
    <row r="262" ht="18" customHeight="1" spans="1:14">
      <c r="A262" s="207"/>
      <c r="B262" s="210" t="s">
        <v>1381</v>
      </c>
      <c r="C262" s="211">
        <v>60</v>
      </c>
      <c r="D262" s="211">
        <f t="shared" si="5"/>
        <v>60</v>
      </c>
      <c r="E262" s="211">
        <v>60</v>
      </c>
      <c r="F262" s="211"/>
      <c r="G262" s="211"/>
      <c r="H262" s="211"/>
      <c r="I262" s="211"/>
      <c r="J262" s="211"/>
      <c r="K262" s="211"/>
      <c r="L262" s="211"/>
      <c r="M262" s="211"/>
      <c r="N262" s="213" t="s">
        <v>578</v>
      </c>
    </row>
    <row r="263" ht="18" customHeight="1" spans="1:14">
      <c r="A263" s="207"/>
      <c r="B263" s="210" t="s">
        <v>1382</v>
      </c>
      <c r="C263" s="211">
        <v>100</v>
      </c>
      <c r="D263" s="211">
        <f t="shared" si="5"/>
        <v>100</v>
      </c>
      <c r="E263" s="211">
        <v>100</v>
      </c>
      <c r="F263" s="211"/>
      <c r="G263" s="211"/>
      <c r="H263" s="211"/>
      <c r="I263" s="211"/>
      <c r="J263" s="211"/>
      <c r="K263" s="211"/>
      <c r="L263" s="211"/>
      <c r="M263" s="211"/>
      <c r="N263" s="213" t="s">
        <v>578</v>
      </c>
    </row>
    <row r="264" ht="18" customHeight="1" spans="1:14">
      <c r="A264" s="207" t="s">
        <v>1056</v>
      </c>
      <c r="B264" s="204" t="s">
        <v>670</v>
      </c>
      <c r="C264" s="205">
        <v>2171</v>
      </c>
      <c r="D264" s="205">
        <f t="shared" ref="D264:D327" si="6">E264+F264</f>
        <v>2171</v>
      </c>
      <c r="E264" s="205">
        <v>2171</v>
      </c>
      <c r="F264" s="205"/>
      <c r="G264" s="205"/>
      <c r="H264" s="205"/>
      <c r="I264" s="205"/>
      <c r="J264" s="205"/>
      <c r="K264" s="205"/>
      <c r="L264" s="205"/>
      <c r="M264" s="205"/>
      <c r="N264" s="213" t="s">
        <v>578</v>
      </c>
    </row>
    <row r="265" ht="18" customHeight="1" spans="1:14">
      <c r="A265" s="207"/>
      <c r="B265" s="210" t="s">
        <v>1383</v>
      </c>
      <c r="C265" s="211">
        <v>63</v>
      </c>
      <c r="D265" s="211">
        <f t="shared" si="6"/>
        <v>63</v>
      </c>
      <c r="E265" s="211">
        <v>63</v>
      </c>
      <c r="F265" s="211"/>
      <c r="G265" s="211"/>
      <c r="H265" s="211"/>
      <c r="I265" s="211"/>
      <c r="J265" s="211"/>
      <c r="K265" s="211"/>
      <c r="L265" s="211"/>
      <c r="M265" s="211"/>
      <c r="N265" s="213" t="s">
        <v>578</v>
      </c>
    </row>
    <row r="266" ht="18" customHeight="1" spans="1:14">
      <c r="A266" s="207"/>
      <c r="B266" s="210" t="s">
        <v>1384</v>
      </c>
      <c r="C266" s="211">
        <v>31</v>
      </c>
      <c r="D266" s="211">
        <f t="shared" si="6"/>
        <v>31</v>
      </c>
      <c r="E266" s="211">
        <v>31</v>
      </c>
      <c r="F266" s="211"/>
      <c r="G266" s="211"/>
      <c r="H266" s="211"/>
      <c r="I266" s="211"/>
      <c r="J266" s="211"/>
      <c r="K266" s="211"/>
      <c r="L266" s="211"/>
      <c r="M266" s="211"/>
      <c r="N266" s="213" t="s">
        <v>578</v>
      </c>
    </row>
    <row r="267" ht="18" customHeight="1" spans="1:14">
      <c r="A267" s="207"/>
      <c r="B267" s="210" t="s">
        <v>1385</v>
      </c>
      <c r="C267" s="211">
        <v>8</v>
      </c>
      <c r="D267" s="211">
        <f t="shared" si="6"/>
        <v>8</v>
      </c>
      <c r="E267" s="211">
        <v>8</v>
      </c>
      <c r="F267" s="211"/>
      <c r="G267" s="211"/>
      <c r="H267" s="211"/>
      <c r="I267" s="211"/>
      <c r="J267" s="211"/>
      <c r="K267" s="211"/>
      <c r="L267" s="211"/>
      <c r="M267" s="211"/>
      <c r="N267" s="213" t="s">
        <v>578</v>
      </c>
    </row>
    <row r="268" ht="18" customHeight="1" spans="1:14">
      <c r="A268" s="207"/>
      <c r="B268" s="210" t="s">
        <v>1386</v>
      </c>
      <c r="C268" s="211">
        <v>2</v>
      </c>
      <c r="D268" s="211">
        <f t="shared" si="6"/>
        <v>2</v>
      </c>
      <c r="E268" s="211">
        <v>2</v>
      </c>
      <c r="F268" s="211"/>
      <c r="G268" s="211"/>
      <c r="H268" s="211"/>
      <c r="I268" s="211"/>
      <c r="J268" s="211"/>
      <c r="K268" s="211"/>
      <c r="L268" s="211"/>
      <c r="M268" s="211"/>
      <c r="N268" s="213" t="s">
        <v>578</v>
      </c>
    </row>
    <row r="269" ht="18" customHeight="1" spans="1:14">
      <c r="A269" s="207"/>
      <c r="B269" s="210" t="s">
        <v>1387</v>
      </c>
      <c r="C269" s="211">
        <v>3</v>
      </c>
      <c r="D269" s="211">
        <f t="shared" si="6"/>
        <v>3</v>
      </c>
      <c r="E269" s="211">
        <v>3</v>
      </c>
      <c r="F269" s="211"/>
      <c r="G269" s="211"/>
      <c r="H269" s="211"/>
      <c r="I269" s="211"/>
      <c r="J269" s="211"/>
      <c r="K269" s="211"/>
      <c r="L269" s="211"/>
      <c r="M269" s="211"/>
      <c r="N269" s="213" t="s">
        <v>578</v>
      </c>
    </row>
    <row r="270" ht="18" customHeight="1" spans="1:14">
      <c r="A270" s="207"/>
      <c r="B270" s="210" t="s">
        <v>1388</v>
      </c>
      <c r="C270" s="211">
        <v>2000</v>
      </c>
      <c r="D270" s="211">
        <f t="shared" si="6"/>
        <v>2000</v>
      </c>
      <c r="E270" s="211">
        <v>2000</v>
      </c>
      <c r="F270" s="211"/>
      <c r="G270" s="211"/>
      <c r="H270" s="211"/>
      <c r="I270" s="211"/>
      <c r="J270" s="211"/>
      <c r="K270" s="211"/>
      <c r="L270" s="211"/>
      <c r="M270" s="211"/>
      <c r="N270" s="213" t="s">
        <v>578</v>
      </c>
    </row>
    <row r="271" ht="18" customHeight="1" spans="1:14">
      <c r="A271" s="207"/>
      <c r="B271" s="210" t="s">
        <v>1389</v>
      </c>
      <c r="C271" s="211">
        <v>20</v>
      </c>
      <c r="D271" s="211">
        <f t="shared" si="6"/>
        <v>20</v>
      </c>
      <c r="E271" s="211">
        <v>20</v>
      </c>
      <c r="F271" s="211"/>
      <c r="G271" s="211"/>
      <c r="H271" s="211"/>
      <c r="I271" s="211"/>
      <c r="J271" s="211"/>
      <c r="K271" s="211"/>
      <c r="L271" s="211"/>
      <c r="M271" s="211"/>
      <c r="N271" s="213" t="s">
        <v>578</v>
      </c>
    </row>
    <row r="272" ht="18" customHeight="1" spans="1:14">
      <c r="A272" s="207"/>
      <c r="B272" s="210" t="s">
        <v>1390</v>
      </c>
      <c r="C272" s="211">
        <v>3</v>
      </c>
      <c r="D272" s="211">
        <f t="shared" si="6"/>
        <v>3</v>
      </c>
      <c r="E272" s="211">
        <v>3</v>
      </c>
      <c r="F272" s="211"/>
      <c r="G272" s="211"/>
      <c r="H272" s="211"/>
      <c r="I272" s="211"/>
      <c r="J272" s="211"/>
      <c r="K272" s="211"/>
      <c r="L272" s="211"/>
      <c r="M272" s="211"/>
      <c r="N272" s="213" t="s">
        <v>578</v>
      </c>
    </row>
    <row r="273" ht="18" customHeight="1" spans="1:14">
      <c r="A273" s="207"/>
      <c r="B273" s="210" t="s">
        <v>1391</v>
      </c>
      <c r="C273" s="211">
        <v>6</v>
      </c>
      <c r="D273" s="211">
        <f t="shared" si="6"/>
        <v>6</v>
      </c>
      <c r="E273" s="211">
        <v>6</v>
      </c>
      <c r="F273" s="211"/>
      <c r="G273" s="211"/>
      <c r="H273" s="211"/>
      <c r="I273" s="211"/>
      <c r="J273" s="211"/>
      <c r="K273" s="211"/>
      <c r="L273" s="211"/>
      <c r="M273" s="211"/>
      <c r="N273" s="213" t="s">
        <v>578</v>
      </c>
    </row>
    <row r="274" ht="18" customHeight="1" spans="1:14">
      <c r="A274" s="207"/>
      <c r="B274" s="210" t="s">
        <v>1392</v>
      </c>
      <c r="C274" s="211">
        <v>6</v>
      </c>
      <c r="D274" s="211">
        <f t="shared" si="6"/>
        <v>6</v>
      </c>
      <c r="E274" s="211">
        <v>6</v>
      </c>
      <c r="F274" s="211"/>
      <c r="G274" s="211"/>
      <c r="H274" s="211"/>
      <c r="I274" s="211"/>
      <c r="J274" s="211"/>
      <c r="K274" s="211"/>
      <c r="L274" s="211"/>
      <c r="M274" s="211"/>
      <c r="N274" s="213" t="s">
        <v>578</v>
      </c>
    </row>
    <row r="275" ht="18" customHeight="1" spans="1:14">
      <c r="A275" s="207"/>
      <c r="B275" s="210" t="s">
        <v>1393</v>
      </c>
      <c r="C275" s="211">
        <v>29</v>
      </c>
      <c r="D275" s="211">
        <f t="shared" si="6"/>
        <v>29</v>
      </c>
      <c r="E275" s="211">
        <v>29</v>
      </c>
      <c r="F275" s="211"/>
      <c r="G275" s="211"/>
      <c r="H275" s="211"/>
      <c r="I275" s="211"/>
      <c r="J275" s="211"/>
      <c r="K275" s="211"/>
      <c r="L275" s="211"/>
      <c r="M275" s="211"/>
      <c r="N275" s="213" t="s">
        <v>578</v>
      </c>
    </row>
    <row r="276" ht="18" customHeight="1" spans="1:14">
      <c r="A276" s="207" t="s">
        <v>1057</v>
      </c>
      <c r="B276" s="204" t="s">
        <v>671</v>
      </c>
      <c r="C276" s="205">
        <v>508</v>
      </c>
      <c r="D276" s="205">
        <f t="shared" si="6"/>
        <v>508</v>
      </c>
      <c r="E276" s="205">
        <v>508</v>
      </c>
      <c r="F276" s="205"/>
      <c r="G276" s="205"/>
      <c r="H276" s="205"/>
      <c r="I276" s="205"/>
      <c r="J276" s="205"/>
      <c r="K276" s="205"/>
      <c r="L276" s="205"/>
      <c r="M276" s="205"/>
      <c r="N276" s="213" t="s">
        <v>578</v>
      </c>
    </row>
    <row r="277" ht="18" customHeight="1" spans="1:14">
      <c r="A277" s="207"/>
      <c r="B277" s="210" t="s">
        <v>1394</v>
      </c>
      <c r="C277" s="211">
        <v>1.5</v>
      </c>
      <c r="D277" s="211">
        <f t="shared" si="6"/>
        <v>1.5</v>
      </c>
      <c r="E277" s="211">
        <v>1.5</v>
      </c>
      <c r="F277" s="211"/>
      <c r="G277" s="211"/>
      <c r="H277" s="211"/>
      <c r="I277" s="211"/>
      <c r="J277" s="211"/>
      <c r="K277" s="211"/>
      <c r="L277" s="211"/>
      <c r="M277" s="211"/>
      <c r="N277" s="213" t="s">
        <v>578</v>
      </c>
    </row>
    <row r="278" ht="18" customHeight="1" spans="1:14">
      <c r="A278" s="207"/>
      <c r="B278" s="210" t="s">
        <v>1395</v>
      </c>
      <c r="C278" s="211">
        <v>27</v>
      </c>
      <c r="D278" s="211">
        <f t="shared" si="6"/>
        <v>27</v>
      </c>
      <c r="E278" s="211">
        <v>27</v>
      </c>
      <c r="F278" s="211"/>
      <c r="G278" s="211"/>
      <c r="H278" s="211"/>
      <c r="I278" s="211"/>
      <c r="J278" s="211"/>
      <c r="K278" s="211"/>
      <c r="L278" s="211"/>
      <c r="M278" s="211"/>
      <c r="N278" s="213" t="s">
        <v>578</v>
      </c>
    </row>
    <row r="279" ht="18" customHeight="1" spans="1:14">
      <c r="A279" s="207"/>
      <c r="B279" s="210" t="s">
        <v>1396</v>
      </c>
      <c r="C279" s="211">
        <v>4</v>
      </c>
      <c r="D279" s="211">
        <f t="shared" si="6"/>
        <v>4</v>
      </c>
      <c r="E279" s="211">
        <v>4</v>
      </c>
      <c r="F279" s="211"/>
      <c r="G279" s="211"/>
      <c r="H279" s="211"/>
      <c r="I279" s="211"/>
      <c r="J279" s="211"/>
      <c r="K279" s="211"/>
      <c r="L279" s="211"/>
      <c r="M279" s="211"/>
      <c r="N279" s="213" t="s">
        <v>578</v>
      </c>
    </row>
    <row r="280" ht="18" customHeight="1" spans="1:14">
      <c r="A280" s="207"/>
      <c r="B280" s="210" t="s">
        <v>1397</v>
      </c>
      <c r="C280" s="211">
        <v>160</v>
      </c>
      <c r="D280" s="211">
        <f t="shared" si="6"/>
        <v>160</v>
      </c>
      <c r="E280" s="211">
        <v>160</v>
      </c>
      <c r="F280" s="211"/>
      <c r="G280" s="211"/>
      <c r="H280" s="211"/>
      <c r="I280" s="211"/>
      <c r="J280" s="211"/>
      <c r="K280" s="211"/>
      <c r="L280" s="211"/>
      <c r="M280" s="211"/>
      <c r="N280" s="213" t="s">
        <v>578</v>
      </c>
    </row>
    <row r="281" ht="18" customHeight="1" spans="1:14">
      <c r="A281" s="207"/>
      <c r="B281" s="210" t="s">
        <v>1398</v>
      </c>
      <c r="C281" s="211">
        <v>230</v>
      </c>
      <c r="D281" s="211">
        <f t="shared" si="6"/>
        <v>230</v>
      </c>
      <c r="E281" s="211">
        <v>230</v>
      </c>
      <c r="F281" s="211"/>
      <c r="G281" s="211"/>
      <c r="H281" s="211"/>
      <c r="I281" s="211"/>
      <c r="J281" s="211"/>
      <c r="K281" s="211"/>
      <c r="L281" s="211"/>
      <c r="M281" s="211"/>
      <c r="N281" s="213" t="s">
        <v>578</v>
      </c>
    </row>
    <row r="282" ht="18" customHeight="1" spans="1:14">
      <c r="A282" s="207"/>
      <c r="B282" s="210" t="s">
        <v>1399</v>
      </c>
      <c r="C282" s="211">
        <v>1</v>
      </c>
      <c r="D282" s="211">
        <f t="shared" si="6"/>
        <v>1</v>
      </c>
      <c r="E282" s="211">
        <v>1</v>
      </c>
      <c r="F282" s="211"/>
      <c r="G282" s="211"/>
      <c r="H282" s="211"/>
      <c r="I282" s="211"/>
      <c r="J282" s="211"/>
      <c r="K282" s="211"/>
      <c r="L282" s="211"/>
      <c r="M282" s="211"/>
      <c r="N282" s="213" t="s">
        <v>578</v>
      </c>
    </row>
    <row r="283" ht="18" customHeight="1" spans="1:14">
      <c r="A283" s="207"/>
      <c r="B283" s="210" t="s">
        <v>1400</v>
      </c>
      <c r="C283" s="211">
        <v>4</v>
      </c>
      <c r="D283" s="211">
        <f t="shared" si="6"/>
        <v>4</v>
      </c>
      <c r="E283" s="211">
        <v>4</v>
      </c>
      <c r="F283" s="211"/>
      <c r="G283" s="211"/>
      <c r="H283" s="211"/>
      <c r="I283" s="211"/>
      <c r="J283" s="211"/>
      <c r="K283" s="211"/>
      <c r="L283" s="211"/>
      <c r="M283" s="211"/>
      <c r="N283" s="213" t="s">
        <v>578</v>
      </c>
    </row>
    <row r="284" ht="18" customHeight="1" spans="1:14">
      <c r="A284" s="207"/>
      <c r="B284" s="210" t="s">
        <v>1401</v>
      </c>
      <c r="C284" s="211">
        <v>10</v>
      </c>
      <c r="D284" s="211">
        <f t="shared" si="6"/>
        <v>10</v>
      </c>
      <c r="E284" s="211">
        <v>10</v>
      </c>
      <c r="F284" s="211"/>
      <c r="G284" s="211"/>
      <c r="H284" s="211"/>
      <c r="I284" s="211"/>
      <c r="J284" s="211"/>
      <c r="K284" s="211"/>
      <c r="L284" s="211"/>
      <c r="M284" s="211"/>
      <c r="N284" s="213" t="s">
        <v>578</v>
      </c>
    </row>
    <row r="285" ht="18" customHeight="1" spans="1:14">
      <c r="A285" s="207"/>
      <c r="B285" s="210" t="s">
        <v>1402</v>
      </c>
      <c r="C285" s="211">
        <v>38.5</v>
      </c>
      <c r="D285" s="211">
        <f t="shared" si="6"/>
        <v>38.5</v>
      </c>
      <c r="E285" s="211">
        <v>38.5</v>
      </c>
      <c r="F285" s="211"/>
      <c r="G285" s="211"/>
      <c r="H285" s="211"/>
      <c r="I285" s="211"/>
      <c r="J285" s="211"/>
      <c r="K285" s="211"/>
      <c r="L285" s="211"/>
      <c r="M285" s="211"/>
      <c r="N285" s="213" t="s">
        <v>578</v>
      </c>
    </row>
    <row r="286" ht="18" customHeight="1" spans="1:14">
      <c r="A286" s="207"/>
      <c r="B286" s="210" t="s">
        <v>1403</v>
      </c>
      <c r="C286" s="211">
        <v>5</v>
      </c>
      <c r="D286" s="211">
        <f t="shared" si="6"/>
        <v>5</v>
      </c>
      <c r="E286" s="211">
        <v>5</v>
      </c>
      <c r="F286" s="211"/>
      <c r="G286" s="211"/>
      <c r="H286" s="211"/>
      <c r="I286" s="211"/>
      <c r="J286" s="211"/>
      <c r="K286" s="211"/>
      <c r="L286" s="211"/>
      <c r="M286" s="211"/>
      <c r="N286" s="213" t="s">
        <v>578</v>
      </c>
    </row>
    <row r="287" ht="18" customHeight="1" spans="1:14">
      <c r="A287" s="207"/>
      <c r="B287" s="210" t="s">
        <v>1404</v>
      </c>
      <c r="C287" s="211">
        <v>27</v>
      </c>
      <c r="D287" s="211">
        <f t="shared" si="6"/>
        <v>27</v>
      </c>
      <c r="E287" s="211">
        <v>27</v>
      </c>
      <c r="F287" s="211"/>
      <c r="G287" s="211"/>
      <c r="H287" s="211"/>
      <c r="I287" s="211"/>
      <c r="J287" s="211"/>
      <c r="K287" s="211"/>
      <c r="L287" s="211"/>
      <c r="M287" s="211"/>
      <c r="N287" s="213" t="s">
        <v>578</v>
      </c>
    </row>
    <row r="288" ht="18" customHeight="1" spans="1:14">
      <c r="A288" s="207" t="s">
        <v>1058</v>
      </c>
      <c r="B288" s="204" t="s">
        <v>672</v>
      </c>
      <c r="C288" s="205">
        <v>2050</v>
      </c>
      <c r="D288" s="205">
        <f t="shared" si="6"/>
        <v>2050</v>
      </c>
      <c r="E288" s="205">
        <v>2050</v>
      </c>
      <c r="F288" s="205"/>
      <c r="G288" s="205"/>
      <c r="H288" s="205"/>
      <c r="I288" s="205"/>
      <c r="J288" s="205"/>
      <c r="K288" s="205"/>
      <c r="L288" s="205"/>
      <c r="M288" s="205"/>
      <c r="N288" s="213" t="s">
        <v>578</v>
      </c>
    </row>
    <row r="289" ht="18" customHeight="1" spans="1:14">
      <c r="A289" s="207"/>
      <c r="B289" s="210" t="s">
        <v>1405</v>
      </c>
      <c r="C289" s="211">
        <v>5</v>
      </c>
      <c r="D289" s="211">
        <f t="shared" si="6"/>
        <v>5</v>
      </c>
      <c r="E289" s="211">
        <v>5</v>
      </c>
      <c r="F289" s="211"/>
      <c r="G289" s="211"/>
      <c r="H289" s="211"/>
      <c r="I289" s="211"/>
      <c r="J289" s="211"/>
      <c r="K289" s="211"/>
      <c r="L289" s="211"/>
      <c r="M289" s="211"/>
      <c r="N289" s="213" t="s">
        <v>578</v>
      </c>
    </row>
    <row r="290" ht="18" customHeight="1" spans="1:14">
      <c r="A290" s="207"/>
      <c r="B290" s="210" t="s">
        <v>1406</v>
      </c>
      <c r="C290" s="211">
        <v>12</v>
      </c>
      <c r="D290" s="211">
        <f t="shared" si="6"/>
        <v>12</v>
      </c>
      <c r="E290" s="211">
        <v>12</v>
      </c>
      <c r="F290" s="211"/>
      <c r="G290" s="211"/>
      <c r="H290" s="211"/>
      <c r="I290" s="211"/>
      <c r="J290" s="211"/>
      <c r="K290" s="211"/>
      <c r="L290" s="211"/>
      <c r="M290" s="211"/>
      <c r="N290" s="213" t="s">
        <v>578</v>
      </c>
    </row>
    <row r="291" ht="18" customHeight="1" spans="1:14">
      <c r="A291" s="207"/>
      <c r="B291" s="210" t="s">
        <v>1407</v>
      </c>
      <c r="C291" s="211">
        <v>2000</v>
      </c>
      <c r="D291" s="211">
        <f t="shared" si="6"/>
        <v>2000</v>
      </c>
      <c r="E291" s="211">
        <v>2000</v>
      </c>
      <c r="F291" s="211"/>
      <c r="G291" s="211"/>
      <c r="H291" s="211"/>
      <c r="I291" s="211"/>
      <c r="J291" s="211"/>
      <c r="K291" s="211"/>
      <c r="L291" s="211"/>
      <c r="M291" s="211"/>
      <c r="N291" s="213" t="s">
        <v>578</v>
      </c>
    </row>
    <row r="292" ht="18" customHeight="1" spans="1:14">
      <c r="A292" s="207"/>
      <c r="B292" s="210" t="s">
        <v>1408</v>
      </c>
      <c r="C292" s="211">
        <v>3</v>
      </c>
      <c r="D292" s="211">
        <f t="shared" si="6"/>
        <v>3</v>
      </c>
      <c r="E292" s="211">
        <v>3</v>
      </c>
      <c r="F292" s="211"/>
      <c r="G292" s="211"/>
      <c r="H292" s="211"/>
      <c r="I292" s="211"/>
      <c r="J292" s="211"/>
      <c r="K292" s="211"/>
      <c r="L292" s="211"/>
      <c r="M292" s="211"/>
      <c r="N292" s="213" t="s">
        <v>578</v>
      </c>
    </row>
    <row r="293" ht="18" customHeight="1" spans="1:14">
      <c r="A293" s="207"/>
      <c r="B293" s="210" t="s">
        <v>1409</v>
      </c>
      <c r="C293" s="211">
        <v>30</v>
      </c>
      <c r="D293" s="211">
        <f t="shared" si="6"/>
        <v>30</v>
      </c>
      <c r="E293" s="211">
        <v>30</v>
      </c>
      <c r="F293" s="211"/>
      <c r="G293" s="211"/>
      <c r="H293" s="211"/>
      <c r="I293" s="211"/>
      <c r="J293" s="211"/>
      <c r="K293" s="211"/>
      <c r="L293" s="211"/>
      <c r="M293" s="211"/>
      <c r="N293" s="213" t="s">
        <v>578</v>
      </c>
    </row>
    <row r="294" ht="18" customHeight="1" spans="1:14">
      <c r="A294" s="207" t="s">
        <v>1059</v>
      </c>
      <c r="B294" s="204" t="s">
        <v>673</v>
      </c>
      <c r="C294" s="205">
        <v>63.3074</v>
      </c>
      <c r="D294" s="205">
        <f t="shared" si="6"/>
        <v>63.3074</v>
      </c>
      <c r="E294" s="205">
        <v>63.3074</v>
      </c>
      <c r="F294" s="205"/>
      <c r="G294" s="205"/>
      <c r="H294" s="205"/>
      <c r="I294" s="205"/>
      <c r="J294" s="205"/>
      <c r="K294" s="205"/>
      <c r="L294" s="205"/>
      <c r="M294" s="205"/>
      <c r="N294" s="213" t="s">
        <v>578</v>
      </c>
    </row>
    <row r="295" ht="18" customHeight="1" spans="1:14">
      <c r="A295" s="207"/>
      <c r="B295" s="210" t="s">
        <v>1410</v>
      </c>
      <c r="C295" s="211">
        <v>5</v>
      </c>
      <c r="D295" s="211">
        <f t="shared" si="6"/>
        <v>5</v>
      </c>
      <c r="E295" s="211">
        <v>5</v>
      </c>
      <c r="F295" s="211"/>
      <c r="G295" s="211"/>
      <c r="H295" s="211"/>
      <c r="I295" s="211"/>
      <c r="J295" s="211"/>
      <c r="K295" s="211"/>
      <c r="L295" s="211"/>
      <c r="M295" s="211"/>
      <c r="N295" s="213" t="s">
        <v>578</v>
      </c>
    </row>
    <row r="296" ht="18" customHeight="1" spans="1:14">
      <c r="A296" s="207"/>
      <c r="B296" s="210" t="s">
        <v>1411</v>
      </c>
      <c r="C296" s="211">
        <v>15</v>
      </c>
      <c r="D296" s="211">
        <f t="shared" si="6"/>
        <v>15</v>
      </c>
      <c r="E296" s="211">
        <v>15</v>
      </c>
      <c r="F296" s="211"/>
      <c r="G296" s="211"/>
      <c r="H296" s="211"/>
      <c r="I296" s="211"/>
      <c r="J296" s="211"/>
      <c r="K296" s="211"/>
      <c r="L296" s="211"/>
      <c r="M296" s="211"/>
      <c r="N296" s="213" t="s">
        <v>578</v>
      </c>
    </row>
    <row r="297" ht="18" customHeight="1" spans="1:14">
      <c r="A297" s="207"/>
      <c r="B297" s="210" t="s">
        <v>1412</v>
      </c>
      <c r="C297" s="211">
        <v>10</v>
      </c>
      <c r="D297" s="211">
        <f t="shared" si="6"/>
        <v>10</v>
      </c>
      <c r="E297" s="211">
        <v>10</v>
      </c>
      <c r="F297" s="211"/>
      <c r="G297" s="211"/>
      <c r="H297" s="211"/>
      <c r="I297" s="211"/>
      <c r="J297" s="211"/>
      <c r="K297" s="211"/>
      <c r="L297" s="211"/>
      <c r="M297" s="211"/>
      <c r="N297" s="213" t="s">
        <v>578</v>
      </c>
    </row>
    <row r="298" ht="18" customHeight="1" spans="1:14">
      <c r="A298" s="207"/>
      <c r="B298" s="210" t="s">
        <v>1413</v>
      </c>
      <c r="C298" s="211">
        <v>13.3074</v>
      </c>
      <c r="D298" s="211">
        <f t="shared" si="6"/>
        <v>13.3074</v>
      </c>
      <c r="E298" s="211">
        <v>13.3074</v>
      </c>
      <c r="F298" s="211"/>
      <c r="G298" s="211"/>
      <c r="H298" s="211"/>
      <c r="I298" s="211"/>
      <c r="J298" s="211"/>
      <c r="K298" s="211"/>
      <c r="L298" s="211"/>
      <c r="M298" s="211"/>
      <c r="N298" s="213" t="s">
        <v>578</v>
      </c>
    </row>
    <row r="299" ht="18" customHeight="1" spans="1:14">
      <c r="A299" s="207"/>
      <c r="B299" s="210" t="s">
        <v>1414</v>
      </c>
      <c r="C299" s="211">
        <v>20</v>
      </c>
      <c r="D299" s="211">
        <f t="shared" si="6"/>
        <v>20</v>
      </c>
      <c r="E299" s="211">
        <v>20</v>
      </c>
      <c r="F299" s="211"/>
      <c r="G299" s="211"/>
      <c r="H299" s="211"/>
      <c r="I299" s="211"/>
      <c r="J299" s="211"/>
      <c r="K299" s="211"/>
      <c r="L299" s="211"/>
      <c r="M299" s="211"/>
      <c r="N299" s="213" t="s">
        <v>578</v>
      </c>
    </row>
    <row r="300" ht="18" customHeight="1" spans="1:14">
      <c r="A300" s="207" t="s">
        <v>1060</v>
      </c>
      <c r="B300" s="204" t="s">
        <v>674</v>
      </c>
      <c r="C300" s="205">
        <v>338</v>
      </c>
      <c r="D300" s="205">
        <f t="shared" si="6"/>
        <v>338</v>
      </c>
      <c r="E300" s="205">
        <v>338</v>
      </c>
      <c r="F300" s="205"/>
      <c r="G300" s="205"/>
      <c r="H300" s="205"/>
      <c r="I300" s="205"/>
      <c r="J300" s="205"/>
      <c r="K300" s="205"/>
      <c r="L300" s="205"/>
      <c r="M300" s="205"/>
      <c r="N300" s="213" t="s">
        <v>578</v>
      </c>
    </row>
    <row r="301" ht="18" customHeight="1" spans="1:14">
      <c r="A301" s="207"/>
      <c r="B301" s="210" t="s">
        <v>1415</v>
      </c>
      <c r="C301" s="211">
        <v>10</v>
      </c>
      <c r="D301" s="211">
        <f t="shared" si="6"/>
        <v>10</v>
      </c>
      <c r="E301" s="211">
        <v>10</v>
      </c>
      <c r="F301" s="211"/>
      <c r="G301" s="211"/>
      <c r="H301" s="211"/>
      <c r="I301" s="211"/>
      <c r="J301" s="211"/>
      <c r="K301" s="211"/>
      <c r="L301" s="211"/>
      <c r="M301" s="211"/>
      <c r="N301" s="213" t="s">
        <v>578</v>
      </c>
    </row>
    <row r="302" ht="18" customHeight="1" spans="1:14">
      <c r="A302" s="207"/>
      <c r="B302" s="210" t="s">
        <v>1414</v>
      </c>
      <c r="C302" s="211">
        <v>28</v>
      </c>
      <c r="D302" s="211">
        <f t="shared" si="6"/>
        <v>28</v>
      </c>
      <c r="E302" s="211">
        <v>28</v>
      </c>
      <c r="F302" s="211"/>
      <c r="G302" s="211"/>
      <c r="H302" s="211"/>
      <c r="I302" s="211"/>
      <c r="J302" s="211"/>
      <c r="K302" s="211"/>
      <c r="L302" s="211"/>
      <c r="M302" s="211"/>
      <c r="N302" s="213" t="s">
        <v>578</v>
      </c>
    </row>
    <row r="303" ht="18" customHeight="1" spans="1:14">
      <c r="A303" s="207"/>
      <c r="B303" s="210" t="s">
        <v>1416</v>
      </c>
      <c r="C303" s="211">
        <v>300</v>
      </c>
      <c r="D303" s="211">
        <f t="shared" si="6"/>
        <v>300</v>
      </c>
      <c r="E303" s="211">
        <v>300</v>
      </c>
      <c r="F303" s="211"/>
      <c r="G303" s="211"/>
      <c r="H303" s="211"/>
      <c r="I303" s="211"/>
      <c r="J303" s="211"/>
      <c r="K303" s="211"/>
      <c r="L303" s="211"/>
      <c r="M303" s="211"/>
      <c r="N303" s="213" t="s">
        <v>578</v>
      </c>
    </row>
    <row r="304" ht="18" customHeight="1" spans="1:14">
      <c r="A304" s="207" t="s">
        <v>1061</v>
      </c>
      <c r="B304" s="204" t="s">
        <v>675</v>
      </c>
      <c r="C304" s="205">
        <v>1163</v>
      </c>
      <c r="D304" s="205">
        <f t="shared" si="6"/>
        <v>1163</v>
      </c>
      <c r="E304" s="205">
        <v>1163</v>
      </c>
      <c r="F304" s="205"/>
      <c r="G304" s="205"/>
      <c r="H304" s="205"/>
      <c r="I304" s="205"/>
      <c r="J304" s="205"/>
      <c r="K304" s="205"/>
      <c r="L304" s="205"/>
      <c r="M304" s="205"/>
      <c r="N304" s="213" t="s">
        <v>578</v>
      </c>
    </row>
    <row r="305" ht="18" customHeight="1" spans="1:14">
      <c r="A305" s="207"/>
      <c r="B305" s="210" t="s">
        <v>1417</v>
      </c>
      <c r="C305" s="211">
        <v>190</v>
      </c>
      <c r="D305" s="211">
        <f t="shared" si="6"/>
        <v>190</v>
      </c>
      <c r="E305" s="211">
        <v>190</v>
      </c>
      <c r="F305" s="211"/>
      <c r="G305" s="211"/>
      <c r="H305" s="211"/>
      <c r="I305" s="211"/>
      <c r="J305" s="211"/>
      <c r="K305" s="211"/>
      <c r="L305" s="211"/>
      <c r="M305" s="211"/>
      <c r="N305" s="213" t="s">
        <v>578</v>
      </c>
    </row>
    <row r="306" ht="18" customHeight="1" spans="1:14">
      <c r="A306" s="207"/>
      <c r="B306" s="210" t="s">
        <v>1418</v>
      </c>
      <c r="C306" s="211">
        <v>12</v>
      </c>
      <c r="D306" s="211">
        <f t="shared" si="6"/>
        <v>12</v>
      </c>
      <c r="E306" s="211">
        <v>12</v>
      </c>
      <c r="F306" s="211"/>
      <c r="G306" s="211"/>
      <c r="H306" s="211"/>
      <c r="I306" s="211"/>
      <c r="J306" s="211"/>
      <c r="K306" s="211"/>
      <c r="L306" s="211"/>
      <c r="M306" s="211"/>
      <c r="N306" s="213" t="s">
        <v>578</v>
      </c>
    </row>
    <row r="307" ht="18" customHeight="1" spans="1:14">
      <c r="A307" s="207"/>
      <c r="B307" s="210" t="s">
        <v>1419</v>
      </c>
      <c r="C307" s="211">
        <v>40</v>
      </c>
      <c r="D307" s="211">
        <f t="shared" si="6"/>
        <v>40</v>
      </c>
      <c r="E307" s="211">
        <v>40</v>
      </c>
      <c r="F307" s="211"/>
      <c r="G307" s="211"/>
      <c r="H307" s="211"/>
      <c r="I307" s="211"/>
      <c r="J307" s="211"/>
      <c r="K307" s="211"/>
      <c r="L307" s="211"/>
      <c r="M307" s="211"/>
      <c r="N307" s="213" t="s">
        <v>578</v>
      </c>
    </row>
    <row r="308" ht="18" customHeight="1" spans="1:14">
      <c r="A308" s="207"/>
      <c r="B308" s="210" t="s">
        <v>1420</v>
      </c>
      <c r="C308" s="211">
        <v>80</v>
      </c>
      <c r="D308" s="211">
        <f t="shared" si="6"/>
        <v>80</v>
      </c>
      <c r="E308" s="211">
        <v>80</v>
      </c>
      <c r="F308" s="211"/>
      <c r="G308" s="211"/>
      <c r="H308" s="211"/>
      <c r="I308" s="211"/>
      <c r="J308" s="211"/>
      <c r="K308" s="211"/>
      <c r="L308" s="211"/>
      <c r="M308" s="211"/>
      <c r="N308" s="213" t="s">
        <v>578</v>
      </c>
    </row>
    <row r="309" ht="18" customHeight="1" spans="1:14">
      <c r="A309" s="207"/>
      <c r="B309" s="210" t="s">
        <v>1421</v>
      </c>
      <c r="C309" s="211">
        <v>15</v>
      </c>
      <c r="D309" s="211">
        <f t="shared" si="6"/>
        <v>15</v>
      </c>
      <c r="E309" s="211">
        <v>15</v>
      </c>
      <c r="F309" s="211"/>
      <c r="G309" s="211"/>
      <c r="H309" s="211"/>
      <c r="I309" s="211"/>
      <c r="J309" s="211"/>
      <c r="K309" s="211"/>
      <c r="L309" s="211"/>
      <c r="M309" s="211"/>
      <c r="N309" s="213" t="s">
        <v>578</v>
      </c>
    </row>
    <row r="310" ht="18" customHeight="1" spans="1:14">
      <c r="A310" s="207"/>
      <c r="B310" s="210" t="s">
        <v>1422</v>
      </c>
      <c r="C310" s="211">
        <v>100</v>
      </c>
      <c r="D310" s="211">
        <f t="shared" si="6"/>
        <v>100</v>
      </c>
      <c r="E310" s="211">
        <v>100</v>
      </c>
      <c r="F310" s="211"/>
      <c r="G310" s="211"/>
      <c r="H310" s="211"/>
      <c r="I310" s="211"/>
      <c r="J310" s="211"/>
      <c r="K310" s="211"/>
      <c r="L310" s="211"/>
      <c r="M310" s="211"/>
      <c r="N310" s="213" t="s">
        <v>578</v>
      </c>
    </row>
    <row r="311" ht="18" customHeight="1" spans="1:14">
      <c r="A311" s="207"/>
      <c r="B311" s="210" t="s">
        <v>1423</v>
      </c>
      <c r="C311" s="211">
        <v>300</v>
      </c>
      <c r="D311" s="211">
        <f t="shared" si="6"/>
        <v>300</v>
      </c>
      <c r="E311" s="211">
        <v>300</v>
      </c>
      <c r="F311" s="211"/>
      <c r="G311" s="211"/>
      <c r="H311" s="211"/>
      <c r="I311" s="211"/>
      <c r="J311" s="211"/>
      <c r="K311" s="211"/>
      <c r="L311" s="211"/>
      <c r="M311" s="211"/>
      <c r="N311" s="213" t="s">
        <v>578</v>
      </c>
    </row>
    <row r="312" ht="18" customHeight="1" spans="1:14">
      <c r="A312" s="207"/>
      <c r="B312" s="210" t="s">
        <v>1424</v>
      </c>
      <c r="C312" s="211">
        <v>10</v>
      </c>
      <c r="D312" s="211">
        <f t="shared" si="6"/>
        <v>10</v>
      </c>
      <c r="E312" s="211">
        <v>10</v>
      </c>
      <c r="F312" s="211"/>
      <c r="G312" s="211"/>
      <c r="H312" s="211"/>
      <c r="I312" s="211"/>
      <c r="J312" s="211"/>
      <c r="K312" s="211"/>
      <c r="L312" s="211"/>
      <c r="M312" s="211"/>
      <c r="N312" s="213" t="s">
        <v>578</v>
      </c>
    </row>
    <row r="313" ht="18" customHeight="1" spans="1:14">
      <c r="A313" s="207"/>
      <c r="B313" s="210" t="s">
        <v>1425</v>
      </c>
      <c r="C313" s="211">
        <v>3</v>
      </c>
      <c r="D313" s="211">
        <f t="shared" si="6"/>
        <v>3</v>
      </c>
      <c r="E313" s="211">
        <v>3</v>
      </c>
      <c r="F313" s="211"/>
      <c r="G313" s="211"/>
      <c r="H313" s="211"/>
      <c r="I313" s="211"/>
      <c r="J313" s="211"/>
      <c r="K313" s="211"/>
      <c r="L313" s="211"/>
      <c r="M313" s="211"/>
      <c r="N313" s="213" t="s">
        <v>578</v>
      </c>
    </row>
    <row r="314" ht="18" customHeight="1" spans="1:14">
      <c r="A314" s="207"/>
      <c r="B314" s="210" t="s">
        <v>1426</v>
      </c>
      <c r="C314" s="211">
        <v>50</v>
      </c>
      <c r="D314" s="211">
        <f t="shared" si="6"/>
        <v>50</v>
      </c>
      <c r="E314" s="211">
        <v>50</v>
      </c>
      <c r="F314" s="211"/>
      <c r="G314" s="211"/>
      <c r="H314" s="211"/>
      <c r="I314" s="211"/>
      <c r="J314" s="211"/>
      <c r="K314" s="211"/>
      <c r="L314" s="211"/>
      <c r="M314" s="211"/>
      <c r="N314" s="213" t="s">
        <v>578</v>
      </c>
    </row>
    <row r="315" ht="18" customHeight="1" spans="1:14">
      <c r="A315" s="207"/>
      <c r="B315" s="210" t="s">
        <v>1427</v>
      </c>
      <c r="C315" s="211">
        <v>40</v>
      </c>
      <c r="D315" s="211">
        <f t="shared" si="6"/>
        <v>40</v>
      </c>
      <c r="E315" s="211">
        <v>40</v>
      </c>
      <c r="F315" s="211"/>
      <c r="G315" s="211"/>
      <c r="H315" s="211"/>
      <c r="I315" s="211"/>
      <c r="J315" s="211"/>
      <c r="K315" s="211"/>
      <c r="L315" s="211"/>
      <c r="M315" s="211"/>
      <c r="N315" s="213" t="s">
        <v>578</v>
      </c>
    </row>
    <row r="316" ht="18" customHeight="1" spans="1:14">
      <c r="A316" s="207"/>
      <c r="B316" s="210" t="s">
        <v>1428</v>
      </c>
      <c r="C316" s="211">
        <v>10</v>
      </c>
      <c r="D316" s="211">
        <f t="shared" si="6"/>
        <v>10</v>
      </c>
      <c r="E316" s="211">
        <v>10</v>
      </c>
      <c r="F316" s="211"/>
      <c r="G316" s="211"/>
      <c r="H316" s="211"/>
      <c r="I316" s="211"/>
      <c r="J316" s="211"/>
      <c r="K316" s="211"/>
      <c r="L316" s="211"/>
      <c r="M316" s="211"/>
      <c r="N316" s="213" t="s">
        <v>578</v>
      </c>
    </row>
    <row r="317" ht="18" customHeight="1" spans="1:14">
      <c r="A317" s="207"/>
      <c r="B317" s="210" t="s">
        <v>1429</v>
      </c>
      <c r="C317" s="211">
        <v>75</v>
      </c>
      <c r="D317" s="211">
        <f t="shared" si="6"/>
        <v>75</v>
      </c>
      <c r="E317" s="211">
        <v>75</v>
      </c>
      <c r="F317" s="211"/>
      <c r="G317" s="211"/>
      <c r="H317" s="211"/>
      <c r="I317" s="211"/>
      <c r="J317" s="211"/>
      <c r="K317" s="211"/>
      <c r="L317" s="211"/>
      <c r="M317" s="211"/>
      <c r="N317" s="213" t="s">
        <v>578</v>
      </c>
    </row>
    <row r="318" ht="18" customHeight="1" spans="1:14">
      <c r="A318" s="207"/>
      <c r="B318" s="210" t="s">
        <v>1430</v>
      </c>
      <c r="C318" s="211">
        <v>180</v>
      </c>
      <c r="D318" s="211">
        <f t="shared" si="6"/>
        <v>180</v>
      </c>
      <c r="E318" s="211">
        <v>180</v>
      </c>
      <c r="F318" s="211"/>
      <c r="G318" s="211"/>
      <c r="H318" s="211"/>
      <c r="I318" s="211"/>
      <c r="J318" s="211"/>
      <c r="K318" s="211"/>
      <c r="L318" s="211"/>
      <c r="M318" s="211"/>
      <c r="N318" s="213" t="s">
        <v>578</v>
      </c>
    </row>
    <row r="319" ht="18" customHeight="1" spans="1:14">
      <c r="A319" s="207"/>
      <c r="B319" s="210" t="s">
        <v>1431</v>
      </c>
      <c r="C319" s="211">
        <v>5</v>
      </c>
      <c r="D319" s="211">
        <f t="shared" si="6"/>
        <v>5</v>
      </c>
      <c r="E319" s="211">
        <v>5</v>
      </c>
      <c r="F319" s="211"/>
      <c r="G319" s="211"/>
      <c r="H319" s="211"/>
      <c r="I319" s="211"/>
      <c r="J319" s="211"/>
      <c r="K319" s="211"/>
      <c r="L319" s="211"/>
      <c r="M319" s="211"/>
      <c r="N319" s="213" t="s">
        <v>578</v>
      </c>
    </row>
    <row r="320" ht="18" customHeight="1" spans="1:14">
      <c r="A320" s="207"/>
      <c r="B320" s="210" t="s">
        <v>1432</v>
      </c>
      <c r="C320" s="211">
        <v>8</v>
      </c>
      <c r="D320" s="211">
        <f t="shared" si="6"/>
        <v>8</v>
      </c>
      <c r="E320" s="211">
        <v>8</v>
      </c>
      <c r="F320" s="211"/>
      <c r="G320" s="211"/>
      <c r="H320" s="211"/>
      <c r="I320" s="211"/>
      <c r="J320" s="211"/>
      <c r="K320" s="211"/>
      <c r="L320" s="211"/>
      <c r="M320" s="211"/>
      <c r="N320" s="213" t="s">
        <v>578</v>
      </c>
    </row>
    <row r="321" ht="18" customHeight="1" spans="1:14">
      <c r="A321" s="207"/>
      <c r="B321" s="210" t="s">
        <v>1433</v>
      </c>
      <c r="C321" s="211">
        <v>45</v>
      </c>
      <c r="D321" s="211">
        <f t="shared" si="6"/>
        <v>45</v>
      </c>
      <c r="E321" s="211">
        <v>45</v>
      </c>
      <c r="F321" s="211"/>
      <c r="G321" s="211"/>
      <c r="H321" s="211"/>
      <c r="I321" s="211"/>
      <c r="J321" s="211"/>
      <c r="K321" s="211"/>
      <c r="L321" s="211"/>
      <c r="M321" s="211"/>
      <c r="N321" s="213" t="s">
        <v>578</v>
      </c>
    </row>
    <row r="322" ht="18" customHeight="1" spans="1:14">
      <c r="A322" s="207" t="s">
        <v>1062</v>
      </c>
      <c r="B322" s="204" t="s">
        <v>676</v>
      </c>
      <c r="C322" s="205">
        <v>25</v>
      </c>
      <c r="D322" s="205">
        <f t="shared" si="6"/>
        <v>25</v>
      </c>
      <c r="E322" s="205">
        <v>25</v>
      </c>
      <c r="F322" s="205"/>
      <c r="G322" s="205"/>
      <c r="H322" s="205"/>
      <c r="I322" s="205"/>
      <c r="J322" s="205"/>
      <c r="K322" s="205"/>
      <c r="L322" s="205"/>
      <c r="M322" s="205"/>
      <c r="N322" s="213" t="s">
        <v>578</v>
      </c>
    </row>
    <row r="323" ht="18" customHeight="1" spans="1:14">
      <c r="A323" s="207"/>
      <c r="B323" s="210" t="s">
        <v>1434</v>
      </c>
      <c r="C323" s="211">
        <v>3.8</v>
      </c>
      <c r="D323" s="211">
        <f t="shared" si="6"/>
        <v>3.8</v>
      </c>
      <c r="E323" s="211">
        <v>3.8</v>
      </c>
      <c r="F323" s="211"/>
      <c r="G323" s="211"/>
      <c r="H323" s="211"/>
      <c r="I323" s="211"/>
      <c r="J323" s="211"/>
      <c r="K323" s="211"/>
      <c r="L323" s="211"/>
      <c r="M323" s="211"/>
      <c r="N323" s="213" t="s">
        <v>578</v>
      </c>
    </row>
    <row r="324" ht="18" customHeight="1" spans="1:14">
      <c r="A324" s="207"/>
      <c r="B324" s="210" t="s">
        <v>1435</v>
      </c>
      <c r="C324" s="211">
        <v>2</v>
      </c>
      <c r="D324" s="211">
        <f t="shared" si="6"/>
        <v>2</v>
      </c>
      <c r="E324" s="211">
        <v>2</v>
      </c>
      <c r="F324" s="211"/>
      <c r="G324" s="211"/>
      <c r="H324" s="211"/>
      <c r="I324" s="211"/>
      <c r="J324" s="211"/>
      <c r="K324" s="211"/>
      <c r="L324" s="211"/>
      <c r="M324" s="211"/>
      <c r="N324" s="213" t="s">
        <v>578</v>
      </c>
    </row>
    <row r="325" ht="18" customHeight="1" spans="1:14">
      <c r="A325" s="207"/>
      <c r="B325" s="210" t="s">
        <v>1436</v>
      </c>
      <c r="C325" s="211">
        <v>4.8</v>
      </c>
      <c r="D325" s="211">
        <f t="shared" si="6"/>
        <v>4.8</v>
      </c>
      <c r="E325" s="211">
        <v>4.8</v>
      </c>
      <c r="F325" s="211"/>
      <c r="G325" s="211"/>
      <c r="H325" s="211"/>
      <c r="I325" s="211"/>
      <c r="J325" s="211"/>
      <c r="K325" s="211"/>
      <c r="L325" s="211"/>
      <c r="M325" s="211"/>
      <c r="N325" s="213" t="s">
        <v>578</v>
      </c>
    </row>
    <row r="326" ht="18" customHeight="1" spans="1:14">
      <c r="A326" s="207"/>
      <c r="B326" s="210" t="s">
        <v>1437</v>
      </c>
      <c r="C326" s="211">
        <v>6.4</v>
      </c>
      <c r="D326" s="211">
        <f t="shared" si="6"/>
        <v>6.4</v>
      </c>
      <c r="E326" s="211">
        <v>6.4</v>
      </c>
      <c r="F326" s="211"/>
      <c r="G326" s="211"/>
      <c r="H326" s="211"/>
      <c r="I326" s="211"/>
      <c r="J326" s="211"/>
      <c r="K326" s="211"/>
      <c r="L326" s="211"/>
      <c r="M326" s="211"/>
      <c r="N326" s="213" t="s">
        <v>578</v>
      </c>
    </row>
    <row r="327" ht="18" customHeight="1" spans="1:14">
      <c r="A327" s="207"/>
      <c r="B327" s="210" t="s">
        <v>1438</v>
      </c>
      <c r="C327" s="211">
        <v>8</v>
      </c>
      <c r="D327" s="211">
        <f t="shared" si="6"/>
        <v>8</v>
      </c>
      <c r="E327" s="211">
        <v>8</v>
      </c>
      <c r="F327" s="211"/>
      <c r="G327" s="211"/>
      <c r="H327" s="211"/>
      <c r="I327" s="211"/>
      <c r="J327" s="211"/>
      <c r="K327" s="211"/>
      <c r="L327" s="211"/>
      <c r="M327" s="211"/>
      <c r="N327" s="213" t="s">
        <v>578</v>
      </c>
    </row>
    <row r="328" ht="18" customHeight="1" spans="1:14">
      <c r="A328" s="207" t="s">
        <v>1063</v>
      </c>
      <c r="B328" s="204" t="s">
        <v>677</v>
      </c>
      <c r="C328" s="205">
        <v>1171.5936</v>
      </c>
      <c r="D328" s="205">
        <f t="shared" ref="D328:D332" si="7">E328+F328</f>
        <v>1171.5936</v>
      </c>
      <c r="E328" s="205">
        <v>1171.5936</v>
      </c>
      <c r="F328" s="205"/>
      <c r="G328" s="205"/>
      <c r="H328" s="205"/>
      <c r="I328" s="205"/>
      <c r="J328" s="205"/>
      <c r="K328" s="205"/>
      <c r="L328" s="205"/>
      <c r="M328" s="205"/>
      <c r="N328" s="213" t="s">
        <v>578</v>
      </c>
    </row>
    <row r="329" ht="18" customHeight="1" spans="1:14">
      <c r="A329" s="207"/>
      <c r="B329" s="210" t="s">
        <v>1439</v>
      </c>
      <c r="C329" s="211">
        <v>73.5936</v>
      </c>
      <c r="D329" s="211">
        <f t="shared" si="7"/>
        <v>73.5936</v>
      </c>
      <c r="E329" s="211">
        <v>73.5936</v>
      </c>
      <c r="F329" s="211"/>
      <c r="G329" s="211"/>
      <c r="H329" s="211"/>
      <c r="I329" s="211"/>
      <c r="J329" s="211"/>
      <c r="K329" s="211"/>
      <c r="L329" s="211"/>
      <c r="M329" s="211"/>
      <c r="N329" s="213" t="s">
        <v>578</v>
      </c>
    </row>
    <row r="330" ht="18" customHeight="1" spans="1:14">
      <c r="A330" s="207"/>
      <c r="B330" s="210" t="s">
        <v>1440</v>
      </c>
      <c r="C330" s="211">
        <v>3</v>
      </c>
      <c r="D330" s="211">
        <f t="shared" si="7"/>
        <v>3</v>
      </c>
      <c r="E330" s="211">
        <v>3</v>
      </c>
      <c r="F330" s="211"/>
      <c r="G330" s="211"/>
      <c r="H330" s="211"/>
      <c r="I330" s="211"/>
      <c r="J330" s="211"/>
      <c r="K330" s="211"/>
      <c r="L330" s="211"/>
      <c r="M330" s="211"/>
      <c r="N330" s="213" t="s">
        <v>578</v>
      </c>
    </row>
    <row r="331" ht="18" customHeight="1" spans="1:14">
      <c r="A331" s="207"/>
      <c r="B331" s="210" t="s">
        <v>1441</v>
      </c>
      <c r="C331" s="211">
        <v>400</v>
      </c>
      <c r="D331" s="211">
        <f t="shared" si="7"/>
        <v>400</v>
      </c>
      <c r="E331" s="211">
        <v>400</v>
      </c>
      <c r="F331" s="211"/>
      <c r="G331" s="211"/>
      <c r="H331" s="211"/>
      <c r="I331" s="211"/>
      <c r="J331" s="211"/>
      <c r="K331" s="211"/>
      <c r="L331" s="211"/>
      <c r="M331" s="211"/>
      <c r="N331" s="213" t="s">
        <v>578</v>
      </c>
    </row>
    <row r="332" ht="18" customHeight="1" spans="1:14">
      <c r="A332" s="207"/>
      <c r="B332" s="210" t="s">
        <v>1442</v>
      </c>
      <c r="C332" s="211">
        <v>695</v>
      </c>
      <c r="D332" s="211">
        <f t="shared" si="7"/>
        <v>695</v>
      </c>
      <c r="E332" s="211">
        <v>695</v>
      </c>
      <c r="F332" s="211"/>
      <c r="G332" s="211"/>
      <c r="H332" s="211"/>
      <c r="I332" s="211"/>
      <c r="J332" s="211"/>
      <c r="K332" s="211"/>
      <c r="L332" s="211"/>
      <c r="M332" s="211"/>
      <c r="N332" s="213" t="s">
        <v>578</v>
      </c>
    </row>
    <row r="333" ht="18" customHeight="1" spans="1:14">
      <c r="A333" s="207" t="s">
        <v>1065</v>
      </c>
      <c r="B333" s="204" t="s">
        <v>678</v>
      </c>
      <c r="C333" s="205">
        <v>8845</v>
      </c>
      <c r="D333" s="205">
        <v>25</v>
      </c>
      <c r="E333" s="205">
        <v>25</v>
      </c>
      <c r="F333" s="205"/>
      <c r="G333" s="205"/>
      <c r="H333" s="205">
        <v>8820</v>
      </c>
      <c r="I333" s="205">
        <v>8820</v>
      </c>
      <c r="J333" s="205"/>
      <c r="K333" s="205"/>
      <c r="L333" s="205"/>
      <c r="M333" s="205"/>
      <c r="N333" s="213" t="s">
        <v>578</v>
      </c>
    </row>
    <row r="334" ht="18" customHeight="1" spans="1:14">
      <c r="A334" s="207"/>
      <c r="B334" s="210" t="s">
        <v>1443</v>
      </c>
      <c r="C334" s="211">
        <v>2000</v>
      </c>
      <c r="D334" s="211"/>
      <c r="E334" s="211"/>
      <c r="F334" s="211"/>
      <c r="G334" s="211"/>
      <c r="H334" s="211">
        <v>2000</v>
      </c>
      <c r="I334" s="211">
        <v>2000</v>
      </c>
      <c r="J334" s="211"/>
      <c r="K334" s="211"/>
      <c r="L334" s="211"/>
      <c r="M334" s="211"/>
      <c r="N334" s="213" t="s">
        <v>578</v>
      </c>
    </row>
    <row r="335" ht="18" customHeight="1" spans="1:14">
      <c r="A335" s="207"/>
      <c r="B335" s="210" t="s">
        <v>1444</v>
      </c>
      <c r="C335" s="211">
        <v>2500</v>
      </c>
      <c r="D335" s="211"/>
      <c r="E335" s="211"/>
      <c r="F335" s="211"/>
      <c r="G335" s="211"/>
      <c r="H335" s="211">
        <v>2500</v>
      </c>
      <c r="I335" s="211">
        <v>2500</v>
      </c>
      <c r="J335" s="205"/>
      <c r="K335" s="205"/>
      <c r="L335" s="205"/>
      <c r="M335" s="205"/>
      <c r="N335" s="213" t="s">
        <v>578</v>
      </c>
    </row>
    <row r="336" ht="18" customHeight="1" spans="1:14">
      <c r="A336" s="207"/>
      <c r="B336" s="210" t="s">
        <v>1445</v>
      </c>
      <c r="C336" s="211">
        <v>25</v>
      </c>
      <c r="D336" s="211">
        <v>25</v>
      </c>
      <c r="E336" s="211">
        <v>25</v>
      </c>
      <c r="F336" s="211"/>
      <c r="G336" s="211"/>
      <c r="H336" s="211"/>
      <c r="I336" s="211"/>
      <c r="J336" s="205"/>
      <c r="K336" s="205"/>
      <c r="L336" s="205"/>
      <c r="M336" s="205"/>
      <c r="N336" s="213" t="s">
        <v>578</v>
      </c>
    </row>
    <row r="337" ht="18" customHeight="1" spans="1:14">
      <c r="A337" s="207"/>
      <c r="B337" s="210" t="s">
        <v>1446</v>
      </c>
      <c r="C337" s="211">
        <v>800</v>
      </c>
      <c r="D337" s="211"/>
      <c r="E337" s="211"/>
      <c r="F337" s="211"/>
      <c r="G337" s="211"/>
      <c r="H337" s="211">
        <v>800</v>
      </c>
      <c r="I337" s="211">
        <v>800</v>
      </c>
      <c r="J337" s="205"/>
      <c r="K337" s="205"/>
      <c r="L337" s="205"/>
      <c r="M337" s="205"/>
      <c r="N337" s="213" t="s">
        <v>578</v>
      </c>
    </row>
    <row r="338" ht="18" customHeight="1" spans="1:14">
      <c r="A338" s="207"/>
      <c r="B338" s="210" t="s">
        <v>1447</v>
      </c>
      <c r="C338" s="211">
        <v>800</v>
      </c>
      <c r="D338" s="211"/>
      <c r="E338" s="211"/>
      <c r="F338" s="211"/>
      <c r="G338" s="211"/>
      <c r="H338" s="211">
        <v>800</v>
      </c>
      <c r="I338" s="211">
        <v>800</v>
      </c>
      <c r="J338" s="205"/>
      <c r="K338" s="205"/>
      <c r="L338" s="205"/>
      <c r="M338" s="205"/>
      <c r="N338" s="213" t="s">
        <v>578</v>
      </c>
    </row>
    <row r="339" ht="18" customHeight="1" spans="1:14">
      <c r="A339" s="207"/>
      <c r="B339" s="210" t="s">
        <v>1448</v>
      </c>
      <c r="C339" s="211">
        <v>100</v>
      </c>
      <c r="D339" s="211"/>
      <c r="E339" s="211"/>
      <c r="F339" s="211"/>
      <c r="G339" s="211"/>
      <c r="H339" s="211">
        <v>100</v>
      </c>
      <c r="I339" s="211">
        <v>100</v>
      </c>
      <c r="J339" s="205"/>
      <c r="K339" s="205"/>
      <c r="L339" s="205"/>
      <c r="M339" s="205"/>
      <c r="N339" s="213" t="s">
        <v>578</v>
      </c>
    </row>
    <row r="340" ht="18" customHeight="1" spans="1:14">
      <c r="A340" s="207"/>
      <c r="B340" s="210" t="s">
        <v>1449</v>
      </c>
      <c r="C340" s="211">
        <v>1700</v>
      </c>
      <c r="D340" s="211"/>
      <c r="E340" s="211"/>
      <c r="F340" s="211"/>
      <c r="G340" s="211"/>
      <c r="H340" s="211">
        <v>1700</v>
      </c>
      <c r="I340" s="211">
        <v>1700</v>
      </c>
      <c r="J340" s="205"/>
      <c r="K340" s="205"/>
      <c r="L340" s="205"/>
      <c r="M340" s="205"/>
      <c r="N340" s="213" t="s">
        <v>578</v>
      </c>
    </row>
    <row r="341" ht="18" customHeight="1" spans="1:14">
      <c r="A341" s="207"/>
      <c r="B341" s="210" t="s">
        <v>1450</v>
      </c>
      <c r="C341" s="211">
        <v>920</v>
      </c>
      <c r="D341" s="211"/>
      <c r="E341" s="211"/>
      <c r="F341" s="211"/>
      <c r="G341" s="211"/>
      <c r="H341" s="211">
        <v>920</v>
      </c>
      <c r="I341" s="211">
        <v>920</v>
      </c>
      <c r="J341" s="205"/>
      <c r="K341" s="205"/>
      <c r="L341" s="205"/>
      <c r="M341" s="205"/>
      <c r="N341" s="213" t="s">
        <v>578</v>
      </c>
    </row>
    <row r="342" ht="18" customHeight="1" spans="1:14">
      <c r="A342" s="207" t="s">
        <v>1066</v>
      </c>
      <c r="B342" s="204" t="s">
        <v>679</v>
      </c>
      <c r="C342" s="205">
        <v>405.2</v>
      </c>
      <c r="D342" s="205">
        <f t="shared" ref="D342:D357" si="8">E342+F342</f>
        <v>405.2</v>
      </c>
      <c r="E342" s="205">
        <v>405.2</v>
      </c>
      <c r="F342" s="205"/>
      <c r="G342" s="205"/>
      <c r="H342" s="205"/>
      <c r="I342" s="205"/>
      <c r="J342" s="205"/>
      <c r="K342" s="205"/>
      <c r="L342" s="205"/>
      <c r="M342" s="205"/>
      <c r="N342" s="213" t="s">
        <v>578</v>
      </c>
    </row>
    <row r="343" ht="18" customHeight="1" spans="1:14">
      <c r="A343" s="207"/>
      <c r="B343" s="210" t="s">
        <v>1451</v>
      </c>
      <c r="C343" s="211">
        <v>70</v>
      </c>
      <c r="D343" s="211">
        <f t="shared" si="8"/>
        <v>70</v>
      </c>
      <c r="E343" s="211">
        <v>70</v>
      </c>
      <c r="F343" s="211"/>
      <c r="G343" s="211"/>
      <c r="H343" s="211"/>
      <c r="I343" s="211"/>
      <c r="J343" s="211"/>
      <c r="K343" s="211"/>
      <c r="L343" s="211"/>
      <c r="M343" s="211"/>
      <c r="N343" s="213" t="s">
        <v>578</v>
      </c>
    </row>
    <row r="344" ht="18" customHeight="1" spans="1:14">
      <c r="A344" s="207"/>
      <c r="B344" s="210" t="s">
        <v>1452</v>
      </c>
      <c r="C344" s="211">
        <v>235</v>
      </c>
      <c r="D344" s="211">
        <f t="shared" si="8"/>
        <v>235</v>
      </c>
      <c r="E344" s="211">
        <v>235</v>
      </c>
      <c r="F344" s="211"/>
      <c r="G344" s="211"/>
      <c r="H344" s="211"/>
      <c r="I344" s="211"/>
      <c r="J344" s="211"/>
      <c r="K344" s="211"/>
      <c r="L344" s="211"/>
      <c r="M344" s="211"/>
      <c r="N344" s="213" t="s">
        <v>578</v>
      </c>
    </row>
    <row r="345" ht="18" customHeight="1" spans="1:14">
      <c r="A345" s="207"/>
      <c r="B345" s="210" t="s">
        <v>1453</v>
      </c>
      <c r="C345" s="211">
        <v>60.2</v>
      </c>
      <c r="D345" s="211">
        <f t="shared" si="8"/>
        <v>60.2</v>
      </c>
      <c r="E345" s="211">
        <v>60.2</v>
      </c>
      <c r="F345" s="211"/>
      <c r="G345" s="211"/>
      <c r="H345" s="211"/>
      <c r="I345" s="211"/>
      <c r="J345" s="211"/>
      <c r="K345" s="211"/>
      <c r="L345" s="211"/>
      <c r="M345" s="211"/>
      <c r="N345" s="213" t="s">
        <v>578</v>
      </c>
    </row>
    <row r="346" ht="18" customHeight="1" spans="1:14">
      <c r="A346" s="207"/>
      <c r="B346" s="210" t="s">
        <v>1454</v>
      </c>
      <c r="C346" s="211">
        <v>15</v>
      </c>
      <c r="D346" s="211">
        <f t="shared" si="8"/>
        <v>15</v>
      </c>
      <c r="E346" s="211">
        <v>15</v>
      </c>
      <c r="F346" s="211"/>
      <c r="G346" s="211"/>
      <c r="H346" s="211"/>
      <c r="I346" s="211"/>
      <c r="J346" s="211"/>
      <c r="K346" s="211"/>
      <c r="L346" s="211"/>
      <c r="M346" s="211"/>
      <c r="N346" s="213" t="s">
        <v>578</v>
      </c>
    </row>
    <row r="347" ht="18" customHeight="1" spans="1:14">
      <c r="A347" s="207"/>
      <c r="B347" s="210" t="s">
        <v>1455</v>
      </c>
      <c r="C347" s="211">
        <v>15</v>
      </c>
      <c r="D347" s="211">
        <f t="shared" si="8"/>
        <v>15</v>
      </c>
      <c r="E347" s="211">
        <v>15</v>
      </c>
      <c r="F347" s="211"/>
      <c r="G347" s="211"/>
      <c r="H347" s="211"/>
      <c r="I347" s="211"/>
      <c r="J347" s="211"/>
      <c r="K347" s="211"/>
      <c r="L347" s="211"/>
      <c r="M347" s="211"/>
      <c r="N347" s="213" t="s">
        <v>578</v>
      </c>
    </row>
    <row r="348" ht="18" customHeight="1" spans="1:14">
      <c r="A348" s="207"/>
      <c r="B348" s="210" t="s">
        <v>1456</v>
      </c>
      <c r="C348" s="211">
        <v>10</v>
      </c>
      <c r="D348" s="211">
        <f t="shared" si="8"/>
        <v>10</v>
      </c>
      <c r="E348" s="211">
        <v>10</v>
      </c>
      <c r="F348" s="211"/>
      <c r="G348" s="211"/>
      <c r="H348" s="211"/>
      <c r="I348" s="211"/>
      <c r="J348" s="211"/>
      <c r="K348" s="211"/>
      <c r="L348" s="211"/>
      <c r="M348" s="211"/>
      <c r="N348" s="213" t="s">
        <v>578</v>
      </c>
    </row>
    <row r="349" ht="18" customHeight="1" spans="1:14">
      <c r="A349" s="207" t="s">
        <v>1067</v>
      </c>
      <c r="B349" s="204" t="s">
        <v>680</v>
      </c>
      <c r="C349" s="205">
        <v>30</v>
      </c>
      <c r="D349" s="205">
        <f t="shared" si="8"/>
        <v>30</v>
      </c>
      <c r="E349" s="205">
        <v>30</v>
      </c>
      <c r="F349" s="205"/>
      <c r="G349" s="205"/>
      <c r="H349" s="205"/>
      <c r="I349" s="205"/>
      <c r="J349" s="205"/>
      <c r="K349" s="205"/>
      <c r="L349" s="205"/>
      <c r="M349" s="205"/>
      <c r="N349" s="213" t="s">
        <v>578</v>
      </c>
    </row>
    <row r="350" ht="18" customHeight="1" spans="1:14">
      <c r="A350" s="207"/>
      <c r="B350" s="210" t="s">
        <v>1457</v>
      </c>
      <c r="C350" s="211">
        <v>28</v>
      </c>
      <c r="D350" s="211">
        <f t="shared" si="8"/>
        <v>28</v>
      </c>
      <c r="E350" s="211">
        <v>28</v>
      </c>
      <c r="F350" s="211"/>
      <c r="G350" s="211"/>
      <c r="H350" s="211"/>
      <c r="I350" s="211"/>
      <c r="J350" s="211"/>
      <c r="K350" s="211"/>
      <c r="L350" s="211"/>
      <c r="M350" s="211"/>
      <c r="N350" s="213" t="s">
        <v>578</v>
      </c>
    </row>
    <row r="351" ht="18" customHeight="1" spans="1:14">
      <c r="A351" s="207"/>
      <c r="B351" s="210" t="s">
        <v>1458</v>
      </c>
      <c r="C351" s="211">
        <v>2</v>
      </c>
      <c r="D351" s="211">
        <f t="shared" si="8"/>
        <v>2</v>
      </c>
      <c r="E351" s="211">
        <v>2</v>
      </c>
      <c r="F351" s="211"/>
      <c r="G351" s="211"/>
      <c r="H351" s="211"/>
      <c r="I351" s="211"/>
      <c r="J351" s="211"/>
      <c r="K351" s="211"/>
      <c r="L351" s="211"/>
      <c r="M351" s="211"/>
      <c r="N351" s="213" t="s">
        <v>578</v>
      </c>
    </row>
    <row r="352" ht="18" customHeight="1" spans="1:14">
      <c r="A352" s="207" t="s">
        <v>1068</v>
      </c>
      <c r="B352" s="204" t="s">
        <v>681</v>
      </c>
      <c r="C352" s="205">
        <v>1716.8</v>
      </c>
      <c r="D352" s="205">
        <f t="shared" si="8"/>
        <v>1716.8</v>
      </c>
      <c r="E352" s="205">
        <v>1716.8</v>
      </c>
      <c r="F352" s="205"/>
      <c r="G352" s="205"/>
      <c r="H352" s="205"/>
      <c r="I352" s="205"/>
      <c r="J352" s="205"/>
      <c r="K352" s="205"/>
      <c r="L352" s="205"/>
      <c r="M352" s="205"/>
      <c r="N352" s="213" t="s">
        <v>578</v>
      </c>
    </row>
    <row r="353" ht="18" customHeight="1" spans="1:14">
      <c r="A353" s="207"/>
      <c r="B353" s="210" t="s">
        <v>1459</v>
      </c>
      <c r="C353" s="211">
        <v>600</v>
      </c>
      <c r="D353" s="211">
        <f t="shared" si="8"/>
        <v>600</v>
      </c>
      <c r="E353" s="211">
        <v>600</v>
      </c>
      <c r="F353" s="211"/>
      <c r="G353" s="211"/>
      <c r="H353" s="211"/>
      <c r="I353" s="211"/>
      <c r="J353" s="211"/>
      <c r="K353" s="211"/>
      <c r="L353" s="211"/>
      <c r="M353" s="211"/>
      <c r="N353" s="213" t="s">
        <v>578</v>
      </c>
    </row>
    <row r="354" ht="18" customHeight="1" spans="1:14">
      <c r="A354" s="207"/>
      <c r="B354" s="210" t="s">
        <v>1460</v>
      </c>
      <c r="C354" s="211">
        <v>461.8</v>
      </c>
      <c r="D354" s="211">
        <f t="shared" si="8"/>
        <v>461.8</v>
      </c>
      <c r="E354" s="211">
        <v>461.8</v>
      </c>
      <c r="F354" s="211"/>
      <c r="G354" s="211"/>
      <c r="H354" s="211"/>
      <c r="I354" s="211"/>
      <c r="J354" s="211"/>
      <c r="K354" s="211"/>
      <c r="L354" s="211"/>
      <c r="M354" s="211"/>
      <c r="N354" s="213" t="s">
        <v>578</v>
      </c>
    </row>
    <row r="355" ht="18" customHeight="1" spans="1:14">
      <c r="A355" s="207"/>
      <c r="B355" s="210" t="s">
        <v>1461</v>
      </c>
      <c r="C355" s="211">
        <v>5</v>
      </c>
      <c r="D355" s="211">
        <f t="shared" si="8"/>
        <v>5</v>
      </c>
      <c r="E355" s="211">
        <v>5</v>
      </c>
      <c r="F355" s="211"/>
      <c r="G355" s="211"/>
      <c r="H355" s="211"/>
      <c r="I355" s="211"/>
      <c r="J355" s="211"/>
      <c r="K355" s="211"/>
      <c r="L355" s="211"/>
      <c r="M355" s="211"/>
      <c r="N355" s="213" t="s">
        <v>578</v>
      </c>
    </row>
    <row r="356" ht="18" customHeight="1" spans="1:14">
      <c r="A356" s="207"/>
      <c r="B356" s="210" t="s">
        <v>1462</v>
      </c>
      <c r="C356" s="211">
        <v>50</v>
      </c>
      <c r="D356" s="211">
        <f t="shared" si="8"/>
        <v>50</v>
      </c>
      <c r="E356" s="211">
        <v>50</v>
      </c>
      <c r="F356" s="211"/>
      <c r="G356" s="211"/>
      <c r="H356" s="211"/>
      <c r="I356" s="211"/>
      <c r="J356" s="211"/>
      <c r="K356" s="211"/>
      <c r="L356" s="211"/>
      <c r="M356" s="211"/>
      <c r="N356" s="213" t="s">
        <v>578</v>
      </c>
    </row>
    <row r="357" ht="18" customHeight="1" spans="1:14">
      <c r="A357" s="207"/>
      <c r="B357" s="210" t="s">
        <v>1463</v>
      </c>
      <c r="C357" s="211">
        <v>600</v>
      </c>
      <c r="D357" s="211">
        <f t="shared" si="8"/>
        <v>600</v>
      </c>
      <c r="E357" s="211">
        <v>600</v>
      </c>
      <c r="F357" s="211"/>
      <c r="G357" s="211"/>
      <c r="H357" s="211"/>
      <c r="I357" s="211"/>
      <c r="J357" s="211"/>
      <c r="K357" s="211"/>
      <c r="L357" s="211"/>
      <c r="M357" s="211"/>
      <c r="N357" s="213" t="s">
        <v>578</v>
      </c>
    </row>
    <row r="358" ht="18" customHeight="1" spans="1:14">
      <c r="A358" s="207" t="s">
        <v>1069</v>
      </c>
      <c r="B358" s="204" t="s">
        <v>1464</v>
      </c>
      <c r="C358" s="205">
        <v>100.68</v>
      </c>
      <c r="D358" s="205"/>
      <c r="E358" s="205"/>
      <c r="F358" s="205"/>
      <c r="G358" s="205"/>
      <c r="H358" s="205">
        <v>100.68</v>
      </c>
      <c r="I358" s="205">
        <v>100.68</v>
      </c>
      <c r="J358" s="205"/>
      <c r="K358" s="205"/>
      <c r="L358" s="205"/>
      <c r="M358" s="205"/>
      <c r="N358" s="213" t="s">
        <v>578</v>
      </c>
    </row>
    <row r="359" ht="18" customHeight="1" spans="1:14">
      <c r="A359" s="207"/>
      <c r="B359" s="210" t="s">
        <v>1465</v>
      </c>
      <c r="C359" s="211">
        <v>46.97</v>
      </c>
      <c r="D359" s="211"/>
      <c r="E359" s="211"/>
      <c r="F359" s="211"/>
      <c r="G359" s="211"/>
      <c r="H359" s="211">
        <v>46.97</v>
      </c>
      <c r="I359" s="211">
        <v>46.97</v>
      </c>
      <c r="J359" s="211"/>
      <c r="K359" s="211"/>
      <c r="L359" s="211"/>
      <c r="M359" s="211"/>
      <c r="N359" s="213" t="s">
        <v>578</v>
      </c>
    </row>
    <row r="360" ht="18" customHeight="1" spans="1:14">
      <c r="A360" s="207"/>
      <c r="B360" s="210" t="s">
        <v>1443</v>
      </c>
      <c r="C360" s="211">
        <v>50</v>
      </c>
      <c r="D360" s="211"/>
      <c r="E360" s="211"/>
      <c r="F360" s="211"/>
      <c r="G360" s="211"/>
      <c r="H360" s="211">
        <v>50</v>
      </c>
      <c r="I360" s="211">
        <v>50</v>
      </c>
      <c r="J360" s="211"/>
      <c r="K360" s="211"/>
      <c r="L360" s="211"/>
      <c r="M360" s="211"/>
      <c r="N360" s="213" t="s">
        <v>578</v>
      </c>
    </row>
    <row r="361" ht="18" customHeight="1" spans="1:14">
      <c r="A361" s="207"/>
      <c r="B361" s="210" t="s">
        <v>1466</v>
      </c>
      <c r="C361" s="211">
        <v>3.71</v>
      </c>
      <c r="D361" s="211"/>
      <c r="E361" s="211"/>
      <c r="F361" s="211"/>
      <c r="G361" s="211"/>
      <c r="H361" s="211">
        <v>3.71</v>
      </c>
      <c r="I361" s="211">
        <v>3.71</v>
      </c>
      <c r="J361" s="211"/>
      <c r="K361" s="211"/>
      <c r="L361" s="211"/>
      <c r="M361" s="211"/>
      <c r="N361" s="213" t="s">
        <v>578</v>
      </c>
    </row>
    <row r="362" ht="18" customHeight="1" spans="1:14">
      <c r="A362" s="207" t="s">
        <v>1070</v>
      </c>
      <c r="B362" s="204" t="s">
        <v>1467</v>
      </c>
      <c r="C362" s="205">
        <v>593.49</v>
      </c>
      <c r="D362" s="205"/>
      <c r="E362" s="205"/>
      <c r="F362" s="205"/>
      <c r="G362" s="205"/>
      <c r="H362" s="205">
        <v>593.49</v>
      </c>
      <c r="I362" s="205">
        <v>593.49</v>
      </c>
      <c r="J362" s="205"/>
      <c r="K362" s="205"/>
      <c r="L362" s="205"/>
      <c r="M362" s="205"/>
      <c r="N362" s="213" t="s">
        <v>578</v>
      </c>
    </row>
    <row r="363" ht="18" customHeight="1" spans="1:14">
      <c r="A363" s="207"/>
      <c r="B363" s="210" t="s">
        <v>1468</v>
      </c>
      <c r="C363" s="211">
        <v>440</v>
      </c>
      <c r="D363" s="211"/>
      <c r="E363" s="211"/>
      <c r="F363" s="211"/>
      <c r="G363" s="211"/>
      <c r="H363" s="211">
        <v>440</v>
      </c>
      <c r="I363" s="211">
        <v>440</v>
      </c>
      <c r="J363" s="211"/>
      <c r="K363" s="211"/>
      <c r="L363" s="211"/>
      <c r="M363" s="211"/>
      <c r="N363" s="213" t="s">
        <v>578</v>
      </c>
    </row>
    <row r="364" ht="18" customHeight="1" spans="1:14">
      <c r="A364" s="207"/>
      <c r="B364" s="210" t="s">
        <v>1469</v>
      </c>
      <c r="C364" s="211">
        <v>153.49</v>
      </c>
      <c r="D364" s="211"/>
      <c r="E364" s="211"/>
      <c r="F364" s="211"/>
      <c r="G364" s="211"/>
      <c r="H364" s="211">
        <v>153.49</v>
      </c>
      <c r="I364" s="211">
        <v>153.49</v>
      </c>
      <c r="J364" s="211"/>
      <c r="K364" s="211"/>
      <c r="L364" s="211"/>
      <c r="M364" s="211"/>
      <c r="N364" s="213" t="s">
        <v>578</v>
      </c>
    </row>
    <row r="365" ht="18" customHeight="1" spans="1:14">
      <c r="A365" s="207" t="s">
        <v>1071</v>
      </c>
      <c r="B365" s="204" t="s">
        <v>1470</v>
      </c>
      <c r="C365" s="205">
        <v>1084.36</v>
      </c>
      <c r="D365" s="205"/>
      <c r="E365" s="205"/>
      <c r="F365" s="205"/>
      <c r="G365" s="205"/>
      <c r="H365" s="205">
        <v>1084.36</v>
      </c>
      <c r="I365" s="205">
        <v>1084.36</v>
      </c>
      <c r="J365" s="205"/>
      <c r="K365" s="205"/>
      <c r="L365" s="205"/>
      <c r="M365" s="205"/>
      <c r="N365" s="213" t="s">
        <v>578</v>
      </c>
    </row>
    <row r="366" ht="18" customHeight="1" spans="1:14">
      <c r="A366" s="207"/>
      <c r="B366" s="210" t="s">
        <v>1468</v>
      </c>
      <c r="C366" s="211">
        <v>790</v>
      </c>
      <c r="D366" s="211"/>
      <c r="E366" s="211"/>
      <c r="F366" s="211"/>
      <c r="G366" s="211"/>
      <c r="H366" s="211">
        <v>790</v>
      </c>
      <c r="I366" s="211">
        <v>790</v>
      </c>
      <c r="J366" s="211"/>
      <c r="K366" s="211"/>
      <c r="L366" s="211"/>
      <c r="M366" s="211"/>
      <c r="N366" s="213" t="s">
        <v>578</v>
      </c>
    </row>
    <row r="367" ht="18" customHeight="1" spans="1:14">
      <c r="A367" s="207"/>
      <c r="B367" s="210" t="s">
        <v>1450</v>
      </c>
      <c r="C367" s="211">
        <v>126.4</v>
      </c>
      <c r="D367" s="211"/>
      <c r="E367" s="211"/>
      <c r="F367" s="211"/>
      <c r="G367" s="211"/>
      <c r="H367" s="211">
        <v>126.4</v>
      </c>
      <c r="I367" s="211">
        <v>126.4</v>
      </c>
      <c r="J367" s="211"/>
      <c r="K367" s="211"/>
      <c r="L367" s="211"/>
      <c r="M367" s="211"/>
      <c r="N367" s="213" t="s">
        <v>578</v>
      </c>
    </row>
    <row r="368" ht="18" customHeight="1" spans="1:14">
      <c r="A368" s="207"/>
      <c r="B368" s="210" t="s">
        <v>1469</v>
      </c>
      <c r="C368" s="211">
        <v>167.96</v>
      </c>
      <c r="D368" s="211"/>
      <c r="E368" s="211"/>
      <c r="F368" s="211"/>
      <c r="G368" s="211"/>
      <c r="H368" s="211">
        <v>167.96</v>
      </c>
      <c r="I368" s="211">
        <v>167.96</v>
      </c>
      <c r="J368" s="211"/>
      <c r="K368" s="211"/>
      <c r="L368" s="211"/>
      <c r="M368" s="211"/>
      <c r="N368" s="213" t="s">
        <v>578</v>
      </c>
    </row>
    <row r="369" ht="18" customHeight="1" spans="1:14">
      <c r="A369" s="207" t="s">
        <v>1072</v>
      </c>
      <c r="B369" s="204" t="s">
        <v>1471</v>
      </c>
      <c r="C369" s="205">
        <v>969</v>
      </c>
      <c r="D369" s="205"/>
      <c r="E369" s="205"/>
      <c r="F369" s="205"/>
      <c r="G369" s="205"/>
      <c r="H369" s="205">
        <v>969</v>
      </c>
      <c r="I369" s="205">
        <v>969</v>
      </c>
      <c r="J369" s="205"/>
      <c r="K369" s="205"/>
      <c r="L369" s="205"/>
      <c r="M369" s="205"/>
      <c r="N369" s="213" t="s">
        <v>578</v>
      </c>
    </row>
    <row r="370" ht="18" customHeight="1" spans="1:14">
      <c r="A370" s="207"/>
      <c r="B370" s="210" t="s">
        <v>1469</v>
      </c>
      <c r="C370" s="211">
        <v>99</v>
      </c>
      <c r="D370" s="211"/>
      <c r="E370" s="211"/>
      <c r="F370" s="211"/>
      <c r="G370" s="211"/>
      <c r="H370" s="211">
        <v>99</v>
      </c>
      <c r="I370" s="211">
        <v>99</v>
      </c>
      <c r="J370" s="211"/>
      <c r="K370" s="211"/>
      <c r="L370" s="211"/>
      <c r="M370" s="211"/>
      <c r="N370" s="213" t="s">
        <v>578</v>
      </c>
    </row>
    <row r="371" ht="18" customHeight="1" spans="1:14">
      <c r="A371" s="207"/>
      <c r="B371" s="210" t="s">
        <v>1472</v>
      </c>
      <c r="C371" s="211">
        <v>120</v>
      </c>
      <c r="D371" s="211"/>
      <c r="E371" s="211"/>
      <c r="F371" s="211"/>
      <c r="G371" s="211"/>
      <c r="H371" s="211">
        <v>120</v>
      </c>
      <c r="I371" s="211">
        <v>120</v>
      </c>
      <c r="J371" s="211"/>
      <c r="K371" s="211"/>
      <c r="L371" s="211"/>
      <c r="M371" s="211"/>
      <c r="N371" s="213" t="s">
        <v>578</v>
      </c>
    </row>
    <row r="372" ht="18" customHeight="1" spans="1:14">
      <c r="A372" s="207"/>
      <c r="B372" s="210" t="s">
        <v>1468</v>
      </c>
      <c r="C372" s="211">
        <v>750</v>
      </c>
      <c r="D372" s="211"/>
      <c r="E372" s="211"/>
      <c r="F372" s="211"/>
      <c r="G372" s="211"/>
      <c r="H372" s="211">
        <v>750</v>
      </c>
      <c r="I372" s="211">
        <v>750</v>
      </c>
      <c r="J372" s="211"/>
      <c r="K372" s="211"/>
      <c r="L372" s="211"/>
      <c r="M372" s="211"/>
      <c r="N372" s="213" t="s">
        <v>578</v>
      </c>
    </row>
    <row r="373" ht="18" customHeight="1" spans="1:14">
      <c r="A373" s="207" t="s">
        <v>1073</v>
      </c>
      <c r="B373" s="204" t="s">
        <v>1473</v>
      </c>
      <c r="C373" s="205">
        <v>300.98</v>
      </c>
      <c r="D373" s="205"/>
      <c r="E373" s="205"/>
      <c r="F373" s="205"/>
      <c r="G373" s="205"/>
      <c r="H373" s="205">
        <v>300.98</v>
      </c>
      <c r="I373" s="205">
        <v>300.98</v>
      </c>
      <c r="J373" s="205"/>
      <c r="K373" s="205"/>
      <c r="L373" s="205"/>
      <c r="M373" s="205"/>
      <c r="N373" s="213" t="s">
        <v>578</v>
      </c>
    </row>
    <row r="374" ht="18" customHeight="1" spans="1:14">
      <c r="A374" s="207"/>
      <c r="B374" s="210" t="s">
        <v>1443</v>
      </c>
      <c r="C374" s="211">
        <v>282</v>
      </c>
      <c r="D374" s="211"/>
      <c r="E374" s="211"/>
      <c r="F374" s="211"/>
      <c r="G374" s="211"/>
      <c r="H374" s="211">
        <v>282</v>
      </c>
      <c r="I374" s="211">
        <v>282</v>
      </c>
      <c r="J374" s="211"/>
      <c r="K374" s="211"/>
      <c r="L374" s="211"/>
      <c r="M374" s="211"/>
      <c r="N374" s="213" t="s">
        <v>578</v>
      </c>
    </row>
    <row r="375" ht="18" customHeight="1" spans="1:14">
      <c r="A375" s="207"/>
      <c r="B375" s="210" t="s">
        <v>1465</v>
      </c>
      <c r="C375" s="211">
        <v>18.98</v>
      </c>
      <c r="D375" s="211"/>
      <c r="E375" s="211"/>
      <c r="F375" s="211"/>
      <c r="G375" s="211"/>
      <c r="H375" s="211">
        <v>18.98</v>
      </c>
      <c r="I375" s="211">
        <v>18.98</v>
      </c>
      <c r="J375" s="211"/>
      <c r="K375" s="211"/>
      <c r="L375" s="211"/>
      <c r="M375" s="211"/>
      <c r="N375" s="213" t="s">
        <v>578</v>
      </c>
    </row>
    <row r="376" ht="18" customHeight="1" spans="1:14">
      <c r="A376" s="207" t="s">
        <v>1074</v>
      </c>
      <c r="B376" s="204" t="s">
        <v>1474</v>
      </c>
      <c r="C376" s="205">
        <v>192</v>
      </c>
      <c r="D376" s="205"/>
      <c r="E376" s="205"/>
      <c r="F376" s="205"/>
      <c r="G376" s="205"/>
      <c r="H376" s="205">
        <v>192</v>
      </c>
      <c r="I376" s="205">
        <v>192</v>
      </c>
      <c r="J376" s="205"/>
      <c r="K376" s="205"/>
      <c r="L376" s="205"/>
      <c r="M376" s="205"/>
      <c r="N376" s="213" t="s">
        <v>578</v>
      </c>
    </row>
    <row r="377" ht="18" customHeight="1" spans="1:14">
      <c r="A377" s="207"/>
      <c r="B377" s="210" t="s">
        <v>1475</v>
      </c>
      <c r="C377" s="211">
        <v>168.53</v>
      </c>
      <c r="D377" s="211"/>
      <c r="E377" s="211"/>
      <c r="F377" s="211"/>
      <c r="G377" s="211"/>
      <c r="H377" s="211">
        <v>168.53</v>
      </c>
      <c r="I377" s="211">
        <v>168.53</v>
      </c>
      <c r="J377" s="211"/>
      <c r="K377" s="211"/>
      <c r="L377" s="211"/>
      <c r="M377" s="211"/>
      <c r="N377" s="213" t="s">
        <v>578</v>
      </c>
    </row>
    <row r="378" ht="18" customHeight="1" spans="1:14">
      <c r="A378" s="207"/>
      <c r="B378" s="210" t="s">
        <v>1469</v>
      </c>
      <c r="C378" s="211">
        <v>23.47</v>
      </c>
      <c r="D378" s="211"/>
      <c r="E378" s="211"/>
      <c r="F378" s="211"/>
      <c r="G378" s="211"/>
      <c r="H378" s="211">
        <v>23.47</v>
      </c>
      <c r="I378" s="211">
        <v>23.47</v>
      </c>
      <c r="J378" s="211"/>
      <c r="K378" s="211"/>
      <c r="L378" s="211"/>
      <c r="M378" s="211"/>
      <c r="N378" s="213" t="s">
        <v>578</v>
      </c>
    </row>
    <row r="379" ht="18" customHeight="1" spans="1:14">
      <c r="A379" s="207" t="s">
        <v>1075</v>
      </c>
      <c r="B379" s="204" t="s">
        <v>1476</v>
      </c>
      <c r="C379" s="205">
        <v>214.94</v>
      </c>
      <c r="D379" s="205"/>
      <c r="E379" s="205"/>
      <c r="F379" s="205"/>
      <c r="G379" s="205"/>
      <c r="H379" s="205">
        <v>214.94</v>
      </c>
      <c r="I379" s="205"/>
      <c r="J379" s="205"/>
      <c r="K379" s="205"/>
      <c r="L379" s="205"/>
      <c r="M379" s="205">
        <v>214.94</v>
      </c>
      <c r="N379" s="213" t="s">
        <v>578</v>
      </c>
    </row>
    <row r="380" ht="18" customHeight="1" spans="1:14">
      <c r="A380" s="207"/>
      <c r="B380" s="210" t="s">
        <v>1465</v>
      </c>
      <c r="C380" s="211">
        <v>10.94</v>
      </c>
      <c r="D380" s="211"/>
      <c r="E380" s="211"/>
      <c r="F380" s="211"/>
      <c r="G380" s="211"/>
      <c r="H380" s="211">
        <v>10.94</v>
      </c>
      <c r="I380" s="211"/>
      <c r="J380" s="211"/>
      <c r="K380" s="211"/>
      <c r="L380" s="211"/>
      <c r="M380" s="211">
        <v>10.94</v>
      </c>
      <c r="N380" s="213" t="s">
        <v>578</v>
      </c>
    </row>
    <row r="381" ht="18" customHeight="1" spans="1:14">
      <c r="A381" s="207"/>
      <c r="B381" s="210" t="s">
        <v>1469</v>
      </c>
      <c r="C381" s="211">
        <v>18.5</v>
      </c>
      <c r="D381" s="211"/>
      <c r="E381" s="211"/>
      <c r="F381" s="211"/>
      <c r="G381" s="211"/>
      <c r="H381" s="211">
        <v>18.5</v>
      </c>
      <c r="I381" s="211"/>
      <c r="J381" s="211"/>
      <c r="K381" s="211"/>
      <c r="L381" s="211"/>
      <c r="M381" s="211">
        <v>18.5</v>
      </c>
      <c r="N381" s="213" t="s">
        <v>578</v>
      </c>
    </row>
    <row r="382" ht="18" customHeight="1" spans="1:14">
      <c r="A382" s="207"/>
      <c r="B382" s="210" t="s">
        <v>1477</v>
      </c>
      <c r="C382" s="211">
        <v>185.5</v>
      </c>
      <c r="D382" s="211"/>
      <c r="E382" s="211"/>
      <c r="F382" s="211"/>
      <c r="G382" s="211"/>
      <c r="H382" s="211">
        <v>185.5</v>
      </c>
      <c r="I382" s="211"/>
      <c r="J382" s="211"/>
      <c r="K382" s="211"/>
      <c r="L382" s="211"/>
      <c r="M382" s="211">
        <v>185.5</v>
      </c>
      <c r="N382" s="213" t="s">
        <v>578</v>
      </c>
    </row>
    <row r="383" ht="18" customHeight="1" spans="1:14">
      <c r="A383" s="207" t="s">
        <v>1076</v>
      </c>
      <c r="B383" s="204" t="s">
        <v>1478</v>
      </c>
      <c r="C383" s="205">
        <v>443.79</v>
      </c>
      <c r="D383" s="205"/>
      <c r="E383" s="205"/>
      <c r="F383" s="205"/>
      <c r="G383" s="205"/>
      <c r="H383" s="205">
        <v>443.79</v>
      </c>
      <c r="I383" s="205">
        <v>443.79</v>
      </c>
      <c r="J383" s="205"/>
      <c r="K383" s="205"/>
      <c r="L383" s="205"/>
      <c r="M383" s="205"/>
      <c r="N383" s="213" t="s">
        <v>578</v>
      </c>
    </row>
    <row r="384" ht="18" customHeight="1" spans="1:14">
      <c r="A384" s="207"/>
      <c r="B384" s="210" t="s">
        <v>1443</v>
      </c>
      <c r="C384" s="211">
        <v>340</v>
      </c>
      <c r="D384" s="211"/>
      <c r="E384" s="211"/>
      <c r="F384" s="211"/>
      <c r="G384" s="211"/>
      <c r="H384" s="211">
        <v>340</v>
      </c>
      <c r="I384" s="211">
        <v>340</v>
      </c>
      <c r="J384" s="211"/>
      <c r="K384" s="211"/>
      <c r="L384" s="211"/>
      <c r="M384" s="211"/>
      <c r="N384" s="213" t="s">
        <v>578</v>
      </c>
    </row>
    <row r="385" ht="18" customHeight="1" spans="1:14">
      <c r="A385" s="207"/>
      <c r="B385" s="210" t="s">
        <v>1469</v>
      </c>
      <c r="C385" s="211">
        <v>103.79</v>
      </c>
      <c r="D385" s="211"/>
      <c r="E385" s="211"/>
      <c r="F385" s="211"/>
      <c r="G385" s="211"/>
      <c r="H385" s="211">
        <v>103.79</v>
      </c>
      <c r="I385" s="211">
        <v>103.79</v>
      </c>
      <c r="J385" s="211"/>
      <c r="K385" s="211"/>
      <c r="L385" s="211"/>
      <c r="M385" s="211"/>
      <c r="N385" s="213" t="s">
        <v>578</v>
      </c>
    </row>
    <row r="386" ht="18" customHeight="1" spans="1:14">
      <c r="A386" s="207" t="s">
        <v>1077</v>
      </c>
      <c r="B386" s="204" t="s">
        <v>690</v>
      </c>
      <c r="C386" s="205">
        <v>2734.59</v>
      </c>
      <c r="D386" s="205">
        <v>3.5</v>
      </c>
      <c r="E386" s="205">
        <v>3.5</v>
      </c>
      <c r="F386" s="205"/>
      <c r="G386" s="205"/>
      <c r="H386" s="205">
        <v>2731.09</v>
      </c>
      <c r="I386" s="205">
        <v>2731.09</v>
      </c>
      <c r="J386" s="205"/>
      <c r="K386" s="205"/>
      <c r="L386" s="205"/>
      <c r="M386" s="205"/>
      <c r="N386" s="213" t="s">
        <v>578</v>
      </c>
    </row>
    <row r="387" ht="18" customHeight="1" spans="1:14">
      <c r="A387" s="207"/>
      <c r="B387" s="210" t="s">
        <v>1469</v>
      </c>
      <c r="C387" s="211">
        <v>411.09</v>
      </c>
      <c r="D387" s="211"/>
      <c r="E387" s="211"/>
      <c r="F387" s="211"/>
      <c r="G387" s="211"/>
      <c r="H387" s="211">
        <v>411.09</v>
      </c>
      <c r="I387" s="211">
        <v>411.09</v>
      </c>
      <c r="J387" s="211"/>
      <c r="K387" s="211"/>
      <c r="L387" s="211"/>
      <c r="M387" s="211"/>
      <c r="N387" s="213" t="s">
        <v>578</v>
      </c>
    </row>
    <row r="388" ht="18" customHeight="1" spans="1:14">
      <c r="A388" s="207"/>
      <c r="B388" s="210" t="s">
        <v>1468</v>
      </c>
      <c r="C388" s="211">
        <v>2000</v>
      </c>
      <c r="D388" s="211"/>
      <c r="E388" s="211"/>
      <c r="F388" s="211"/>
      <c r="G388" s="211"/>
      <c r="H388" s="211">
        <v>2000</v>
      </c>
      <c r="I388" s="211">
        <v>2000</v>
      </c>
      <c r="J388" s="211"/>
      <c r="K388" s="211"/>
      <c r="L388" s="211"/>
      <c r="M388" s="211"/>
      <c r="N388" s="213" t="s">
        <v>578</v>
      </c>
    </row>
    <row r="389" ht="18" customHeight="1" spans="1:14">
      <c r="A389" s="207"/>
      <c r="B389" s="210" t="s">
        <v>1479</v>
      </c>
      <c r="C389" s="211">
        <v>3.5</v>
      </c>
      <c r="D389" s="211">
        <v>3.5</v>
      </c>
      <c r="E389" s="211">
        <v>3.5</v>
      </c>
      <c r="F389" s="211"/>
      <c r="G389" s="211"/>
      <c r="H389" s="211"/>
      <c r="I389" s="211"/>
      <c r="J389" s="211"/>
      <c r="K389" s="211"/>
      <c r="L389" s="211"/>
      <c r="M389" s="211"/>
      <c r="N389" s="213" t="s">
        <v>578</v>
      </c>
    </row>
    <row r="390" ht="18" customHeight="1" spans="1:14">
      <c r="A390" s="207"/>
      <c r="B390" s="210" t="s">
        <v>1450</v>
      </c>
      <c r="C390" s="211">
        <v>320</v>
      </c>
      <c r="D390" s="211"/>
      <c r="E390" s="211"/>
      <c r="F390" s="211"/>
      <c r="G390" s="211"/>
      <c r="H390" s="211">
        <v>320</v>
      </c>
      <c r="I390" s="211">
        <v>320</v>
      </c>
      <c r="J390" s="211"/>
      <c r="K390" s="211"/>
      <c r="L390" s="211"/>
      <c r="M390" s="211"/>
      <c r="N390" s="213" t="s">
        <v>578</v>
      </c>
    </row>
    <row r="391" ht="18" customHeight="1" spans="1:14">
      <c r="A391" s="207" t="s">
        <v>1078</v>
      </c>
      <c r="B391" s="204" t="s">
        <v>1480</v>
      </c>
      <c r="C391" s="205">
        <v>361.46</v>
      </c>
      <c r="D391" s="205"/>
      <c r="E391" s="205"/>
      <c r="F391" s="205"/>
      <c r="G391" s="205"/>
      <c r="H391" s="205">
        <v>361.46</v>
      </c>
      <c r="I391" s="205">
        <v>361.46</v>
      </c>
      <c r="J391" s="205"/>
      <c r="K391" s="205"/>
      <c r="L391" s="205"/>
      <c r="M391" s="205"/>
      <c r="N391" s="213" t="s">
        <v>578</v>
      </c>
    </row>
    <row r="392" ht="18" customHeight="1" spans="1:14">
      <c r="A392" s="207"/>
      <c r="B392" s="210" t="s">
        <v>1450</v>
      </c>
      <c r="C392" s="211">
        <v>63.3</v>
      </c>
      <c r="D392" s="211"/>
      <c r="E392" s="211"/>
      <c r="F392" s="211"/>
      <c r="G392" s="211"/>
      <c r="H392" s="211">
        <v>63.3</v>
      </c>
      <c r="I392" s="211">
        <v>63.3</v>
      </c>
      <c r="J392" s="211"/>
      <c r="K392" s="211"/>
      <c r="L392" s="211"/>
      <c r="M392" s="211"/>
      <c r="N392" s="213" t="s">
        <v>578</v>
      </c>
    </row>
    <row r="393" ht="18" customHeight="1" spans="1:14">
      <c r="A393" s="207"/>
      <c r="B393" s="210" t="s">
        <v>1465</v>
      </c>
      <c r="C393" s="211">
        <v>8.28</v>
      </c>
      <c r="D393" s="211"/>
      <c r="E393" s="211"/>
      <c r="F393" s="211"/>
      <c r="G393" s="211"/>
      <c r="H393" s="211">
        <v>8.28</v>
      </c>
      <c r="I393" s="211">
        <v>8.28</v>
      </c>
      <c r="J393" s="211"/>
      <c r="K393" s="211"/>
      <c r="L393" s="211"/>
      <c r="M393" s="211"/>
      <c r="N393" s="213" t="s">
        <v>578</v>
      </c>
    </row>
    <row r="394" ht="18" customHeight="1" spans="1:14">
      <c r="A394" s="207"/>
      <c r="B394" s="210" t="s">
        <v>1443</v>
      </c>
      <c r="C394" s="211">
        <v>289.88</v>
      </c>
      <c r="D394" s="211"/>
      <c r="E394" s="211"/>
      <c r="F394" s="211"/>
      <c r="G394" s="211"/>
      <c r="H394" s="211">
        <v>289.88</v>
      </c>
      <c r="I394" s="211">
        <v>289.88</v>
      </c>
      <c r="J394" s="211"/>
      <c r="K394" s="211"/>
      <c r="L394" s="211"/>
      <c r="M394" s="211"/>
      <c r="N394" s="213" t="s">
        <v>578</v>
      </c>
    </row>
    <row r="395" ht="18" customHeight="1" spans="1:14">
      <c r="A395" s="207" t="s">
        <v>1079</v>
      </c>
      <c r="B395" s="204" t="s">
        <v>1481</v>
      </c>
      <c r="C395" s="205">
        <v>428.04</v>
      </c>
      <c r="D395" s="205"/>
      <c r="E395" s="205"/>
      <c r="F395" s="205"/>
      <c r="G395" s="205"/>
      <c r="H395" s="205">
        <v>428.04</v>
      </c>
      <c r="I395" s="205">
        <v>428.04</v>
      </c>
      <c r="J395" s="205"/>
      <c r="K395" s="205"/>
      <c r="L395" s="205"/>
      <c r="M395" s="205"/>
      <c r="N395" s="213" t="s">
        <v>578</v>
      </c>
    </row>
    <row r="396" ht="18" customHeight="1" spans="1:14">
      <c r="A396" s="207"/>
      <c r="B396" s="210" t="s">
        <v>1468</v>
      </c>
      <c r="C396" s="211">
        <v>340</v>
      </c>
      <c r="D396" s="211"/>
      <c r="E396" s="211"/>
      <c r="F396" s="211"/>
      <c r="G396" s="211"/>
      <c r="H396" s="211">
        <v>340</v>
      </c>
      <c r="I396" s="211">
        <v>340</v>
      </c>
      <c r="J396" s="211"/>
      <c r="K396" s="211"/>
      <c r="L396" s="211"/>
      <c r="M396" s="211"/>
      <c r="N396" s="213" t="s">
        <v>578</v>
      </c>
    </row>
    <row r="397" ht="18" customHeight="1" spans="1:14">
      <c r="A397" s="207"/>
      <c r="B397" s="210" t="s">
        <v>1465</v>
      </c>
      <c r="C397" s="211">
        <v>19.04</v>
      </c>
      <c r="D397" s="211"/>
      <c r="E397" s="211"/>
      <c r="F397" s="211"/>
      <c r="G397" s="211"/>
      <c r="H397" s="211">
        <v>19.04</v>
      </c>
      <c r="I397" s="211">
        <v>19.04</v>
      </c>
      <c r="J397" s="211"/>
      <c r="K397" s="211"/>
      <c r="L397" s="211"/>
      <c r="M397" s="211"/>
      <c r="N397" s="213" t="s">
        <v>578</v>
      </c>
    </row>
    <row r="398" ht="18" customHeight="1" spans="1:14">
      <c r="A398" s="207"/>
      <c r="B398" s="210" t="s">
        <v>1482</v>
      </c>
      <c r="C398" s="211">
        <v>69</v>
      </c>
      <c r="D398" s="211"/>
      <c r="E398" s="211"/>
      <c r="F398" s="211"/>
      <c r="G398" s="211"/>
      <c r="H398" s="211">
        <v>69</v>
      </c>
      <c r="I398" s="211">
        <v>69</v>
      </c>
      <c r="J398" s="211"/>
      <c r="K398" s="211"/>
      <c r="L398" s="211"/>
      <c r="M398" s="211"/>
      <c r="N398" s="213" t="s">
        <v>578</v>
      </c>
    </row>
    <row r="399" ht="18" customHeight="1" spans="1:14">
      <c r="A399" s="207" t="s">
        <v>1080</v>
      </c>
      <c r="B399" s="204" t="s">
        <v>1483</v>
      </c>
      <c r="C399" s="205">
        <v>398.38</v>
      </c>
      <c r="D399" s="205"/>
      <c r="E399" s="205"/>
      <c r="F399" s="205"/>
      <c r="G399" s="205"/>
      <c r="H399" s="205">
        <v>398.38</v>
      </c>
      <c r="I399" s="205">
        <v>398.38</v>
      </c>
      <c r="J399" s="205"/>
      <c r="K399" s="205"/>
      <c r="L399" s="205"/>
      <c r="M399" s="205"/>
      <c r="N399" s="213" t="s">
        <v>578</v>
      </c>
    </row>
    <row r="400" ht="18" customHeight="1" spans="1:14">
      <c r="A400" s="207"/>
      <c r="B400" s="210" t="s">
        <v>1466</v>
      </c>
      <c r="C400" s="211">
        <v>9.66</v>
      </c>
      <c r="D400" s="211"/>
      <c r="E400" s="211"/>
      <c r="F400" s="211"/>
      <c r="G400" s="211"/>
      <c r="H400" s="211">
        <v>9.66</v>
      </c>
      <c r="I400" s="211">
        <v>9.66</v>
      </c>
      <c r="J400" s="211"/>
      <c r="K400" s="211"/>
      <c r="L400" s="211"/>
      <c r="M400" s="211"/>
      <c r="N400" s="213" t="s">
        <v>578</v>
      </c>
    </row>
    <row r="401" ht="18" customHeight="1" spans="1:14">
      <c r="A401" s="207"/>
      <c r="B401" s="210" t="s">
        <v>1484</v>
      </c>
      <c r="C401" s="211">
        <v>47.2</v>
      </c>
      <c r="D401" s="211"/>
      <c r="E401" s="211"/>
      <c r="F401" s="211"/>
      <c r="G401" s="211"/>
      <c r="H401" s="211">
        <v>47.2</v>
      </c>
      <c r="I401" s="211">
        <v>47.2</v>
      </c>
      <c r="J401" s="211"/>
      <c r="K401" s="211"/>
      <c r="L401" s="211"/>
      <c r="M401" s="211"/>
      <c r="N401" s="213" t="s">
        <v>578</v>
      </c>
    </row>
    <row r="402" ht="18" customHeight="1" spans="1:14">
      <c r="A402" s="207"/>
      <c r="B402" s="210" t="s">
        <v>1443</v>
      </c>
      <c r="C402" s="211">
        <v>295.5</v>
      </c>
      <c r="D402" s="211"/>
      <c r="E402" s="211"/>
      <c r="F402" s="211"/>
      <c r="G402" s="211"/>
      <c r="H402" s="211">
        <v>295.5</v>
      </c>
      <c r="I402" s="211">
        <v>295.5</v>
      </c>
      <c r="J402" s="211"/>
      <c r="K402" s="211"/>
      <c r="L402" s="211"/>
      <c r="M402" s="211"/>
      <c r="N402" s="213" t="s">
        <v>578</v>
      </c>
    </row>
    <row r="403" ht="18" customHeight="1" spans="1:14">
      <c r="A403" s="207"/>
      <c r="B403" s="210" t="s">
        <v>1465</v>
      </c>
      <c r="C403" s="211">
        <v>42.91</v>
      </c>
      <c r="D403" s="211"/>
      <c r="E403" s="211"/>
      <c r="F403" s="211"/>
      <c r="G403" s="211"/>
      <c r="H403" s="211">
        <v>42.91</v>
      </c>
      <c r="I403" s="211">
        <v>42.91</v>
      </c>
      <c r="J403" s="211"/>
      <c r="K403" s="211"/>
      <c r="L403" s="211"/>
      <c r="M403" s="211"/>
      <c r="N403" s="213" t="s">
        <v>578</v>
      </c>
    </row>
    <row r="404" ht="18" customHeight="1" spans="1:14">
      <c r="A404" s="207"/>
      <c r="B404" s="210" t="s">
        <v>1469</v>
      </c>
      <c r="C404" s="211">
        <v>3.11</v>
      </c>
      <c r="D404" s="211"/>
      <c r="E404" s="211"/>
      <c r="F404" s="211"/>
      <c r="G404" s="211"/>
      <c r="H404" s="211">
        <v>3.11</v>
      </c>
      <c r="I404" s="211">
        <v>3.11</v>
      </c>
      <c r="J404" s="211"/>
      <c r="K404" s="211"/>
      <c r="L404" s="211"/>
      <c r="M404" s="211"/>
      <c r="N404" s="213" t="s">
        <v>578</v>
      </c>
    </row>
    <row r="405" ht="18" customHeight="1" spans="1:14">
      <c r="A405" s="207" t="s">
        <v>1081</v>
      </c>
      <c r="B405" s="204" t="s">
        <v>1485</v>
      </c>
      <c r="C405" s="205">
        <v>288.85</v>
      </c>
      <c r="D405" s="205"/>
      <c r="E405" s="205"/>
      <c r="F405" s="205"/>
      <c r="G405" s="205"/>
      <c r="H405" s="205">
        <v>288.85</v>
      </c>
      <c r="I405" s="205">
        <v>288.85</v>
      </c>
      <c r="J405" s="205"/>
      <c r="K405" s="205"/>
      <c r="L405" s="205"/>
      <c r="M405" s="205"/>
      <c r="N405" s="213" t="s">
        <v>578</v>
      </c>
    </row>
    <row r="406" ht="18" customHeight="1" spans="1:14">
      <c r="A406" s="207"/>
      <c r="B406" s="210" t="s">
        <v>1469</v>
      </c>
      <c r="C406" s="211">
        <v>7.2</v>
      </c>
      <c r="D406" s="211"/>
      <c r="E406" s="211"/>
      <c r="F406" s="211"/>
      <c r="G406" s="211"/>
      <c r="H406" s="211">
        <v>7.2</v>
      </c>
      <c r="I406" s="211">
        <v>7.2</v>
      </c>
      <c r="J406" s="211"/>
      <c r="K406" s="211"/>
      <c r="L406" s="211"/>
      <c r="M406" s="211"/>
      <c r="N406" s="213" t="s">
        <v>578</v>
      </c>
    </row>
    <row r="407" ht="18" customHeight="1" spans="1:14">
      <c r="A407" s="207"/>
      <c r="B407" s="210" t="s">
        <v>1465</v>
      </c>
      <c r="C407" s="211">
        <v>14.85</v>
      </c>
      <c r="D407" s="211"/>
      <c r="E407" s="211"/>
      <c r="F407" s="211"/>
      <c r="G407" s="211"/>
      <c r="H407" s="211">
        <v>14.85</v>
      </c>
      <c r="I407" s="211">
        <v>14.85</v>
      </c>
      <c r="J407" s="211"/>
      <c r="K407" s="211"/>
      <c r="L407" s="211"/>
      <c r="M407" s="211"/>
      <c r="N407" s="213" t="s">
        <v>578</v>
      </c>
    </row>
    <row r="408" ht="18" customHeight="1" spans="1:14">
      <c r="A408" s="207"/>
      <c r="B408" s="210" t="s">
        <v>1443</v>
      </c>
      <c r="C408" s="211">
        <v>230</v>
      </c>
      <c r="D408" s="211"/>
      <c r="E408" s="211"/>
      <c r="F408" s="211"/>
      <c r="G408" s="211"/>
      <c r="H408" s="211">
        <v>230</v>
      </c>
      <c r="I408" s="211">
        <v>230</v>
      </c>
      <c r="J408" s="211"/>
      <c r="K408" s="211"/>
      <c r="L408" s="211"/>
      <c r="M408" s="211"/>
      <c r="N408" s="213" t="s">
        <v>578</v>
      </c>
    </row>
    <row r="409" ht="18" customHeight="1" spans="1:14">
      <c r="A409" s="207"/>
      <c r="B409" s="210" t="s">
        <v>1450</v>
      </c>
      <c r="C409" s="211">
        <v>36.8</v>
      </c>
      <c r="D409" s="211"/>
      <c r="E409" s="211"/>
      <c r="F409" s="211"/>
      <c r="G409" s="211"/>
      <c r="H409" s="211">
        <v>36.8</v>
      </c>
      <c r="I409" s="211">
        <v>36.8</v>
      </c>
      <c r="J409" s="211"/>
      <c r="K409" s="211"/>
      <c r="L409" s="211"/>
      <c r="M409" s="211"/>
      <c r="N409" s="213" t="s">
        <v>578</v>
      </c>
    </row>
    <row r="410" ht="18" customHeight="1" spans="1:14">
      <c r="A410" s="207" t="s">
        <v>1082</v>
      </c>
      <c r="B410" s="204" t="s">
        <v>1486</v>
      </c>
      <c r="C410" s="205">
        <v>33.2</v>
      </c>
      <c r="D410" s="205"/>
      <c r="E410" s="205"/>
      <c r="F410" s="205"/>
      <c r="G410" s="205"/>
      <c r="H410" s="205">
        <v>33.2</v>
      </c>
      <c r="I410" s="205">
        <v>33.2</v>
      </c>
      <c r="J410" s="205"/>
      <c r="K410" s="205"/>
      <c r="L410" s="205"/>
      <c r="M410" s="205"/>
      <c r="N410" s="213" t="s">
        <v>578</v>
      </c>
    </row>
    <row r="411" ht="18" customHeight="1" spans="1:14">
      <c r="A411" s="207"/>
      <c r="B411" s="210" t="s">
        <v>1468</v>
      </c>
      <c r="C411" s="211">
        <v>30</v>
      </c>
      <c r="D411" s="211"/>
      <c r="E411" s="211"/>
      <c r="F411" s="211"/>
      <c r="G411" s="211"/>
      <c r="H411" s="211">
        <v>30</v>
      </c>
      <c r="I411" s="211">
        <v>30</v>
      </c>
      <c r="J411" s="211"/>
      <c r="K411" s="211"/>
      <c r="L411" s="211"/>
      <c r="M411" s="211"/>
      <c r="N411" s="213" t="s">
        <v>578</v>
      </c>
    </row>
    <row r="412" ht="18" customHeight="1" spans="1:14">
      <c r="A412" s="207"/>
      <c r="B412" s="210" t="s">
        <v>1487</v>
      </c>
      <c r="C412" s="211">
        <v>3.2</v>
      </c>
      <c r="D412" s="211"/>
      <c r="E412" s="211"/>
      <c r="F412" s="211"/>
      <c r="G412" s="211"/>
      <c r="H412" s="211">
        <v>3.2</v>
      </c>
      <c r="I412" s="211">
        <v>3.2</v>
      </c>
      <c r="J412" s="211"/>
      <c r="K412" s="211"/>
      <c r="L412" s="211"/>
      <c r="M412" s="211"/>
      <c r="N412" s="213" t="s">
        <v>578</v>
      </c>
    </row>
    <row r="413" ht="18" customHeight="1" spans="1:14">
      <c r="A413" s="207" t="s">
        <v>1084</v>
      </c>
      <c r="B413" s="204" t="s">
        <v>697</v>
      </c>
      <c r="C413" s="205">
        <v>3901.8</v>
      </c>
      <c r="D413" s="205">
        <f t="shared" ref="D413:D432" si="9">E413+F413</f>
        <v>3901.8</v>
      </c>
      <c r="E413" s="205">
        <v>3901.8</v>
      </c>
      <c r="F413" s="205"/>
      <c r="G413" s="205"/>
      <c r="H413" s="205"/>
      <c r="I413" s="205"/>
      <c r="J413" s="205"/>
      <c r="K413" s="205"/>
      <c r="L413" s="205"/>
      <c r="M413" s="205"/>
      <c r="N413" s="213" t="s">
        <v>578</v>
      </c>
    </row>
    <row r="414" ht="18" customHeight="1" spans="1:14">
      <c r="A414" s="207"/>
      <c r="B414" s="210" t="s">
        <v>1488</v>
      </c>
      <c r="C414" s="211">
        <v>100</v>
      </c>
      <c r="D414" s="211">
        <f t="shared" si="9"/>
        <v>100</v>
      </c>
      <c r="E414" s="211">
        <v>100</v>
      </c>
      <c r="F414" s="211"/>
      <c r="G414" s="211"/>
      <c r="H414" s="211"/>
      <c r="I414" s="211"/>
      <c r="J414" s="211"/>
      <c r="K414" s="211"/>
      <c r="L414" s="211"/>
      <c r="M414" s="211"/>
      <c r="N414" s="213" t="s">
        <v>578</v>
      </c>
    </row>
    <row r="415" ht="18" customHeight="1" spans="1:14">
      <c r="A415" s="207"/>
      <c r="B415" s="210" t="s">
        <v>1489</v>
      </c>
      <c r="C415" s="211">
        <v>18</v>
      </c>
      <c r="D415" s="211">
        <f t="shared" si="9"/>
        <v>18</v>
      </c>
      <c r="E415" s="211">
        <v>18</v>
      </c>
      <c r="F415" s="211"/>
      <c r="G415" s="211"/>
      <c r="H415" s="211"/>
      <c r="I415" s="211"/>
      <c r="J415" s="211"/>
      <c r="K415" s="211"/>
      <c r="L415" s="211"/>
      <c r="M415" s="211"/>
      <c r="N415" s="213" t="s">
        <v>578</v>
      </c>
    </row>
    <row r="416" ht="18" customHeight="1" spans="1:14">
      <c r="A416" s="207"/>
      <c r="B416" s="210" t="s">
        <v>1490</v>
      </c>
      <c r="C416" s="211">
        <v>180</v>
      </c>
      <c r="D416" s="211">
        <f t="shared" si="9"/>
        <v>180</v>
      </c>
      <c r="E416" s="211">
        <v>180</v>
      </c>
      <c r="F416" s="211"/>
      <c r="G416" s="211"/>
      <c r="H416" s="211"/>
      <c r="I416" s="211"/>
      <c r="J416" s="211"/>
      <c r="K416" s="211"/>
      <c r="L416" s="211"/>
      <c r="M416" s="211"/>
      <c r="N416" s="213" t="s">
        <v>578</v>
      </c>
    </row>
    <row r="417" ht="18" customHeight="1" spans="1:14">
      <c r="A417" s="207"/>
      <c r="B417" s="210" t="s">
        <v>1491</v>
      </c>
      <c r="C417" s="211">
        <v>100</v>
      </c>
      <c r="D417" s="211">
        <f t="shared" si="9"/>
        <v>100</v>
      </c>
      <c r="E417" s="211">
        <v>100</v>
      </c>
      <c r="F417" s="211"/>
      <c r="G417" s="211"/>
      <c r="H417" s="211"/>
      <c r="I417" s="211"/>
      <c r="J417" s="211"/>
      <c r="K417" s="211"/>
      <c r="L417" s="211"/>
      <c r="M417" s="211"/>
      <c r="N417" s="213" t="s">
        <v>578</v>
      </c>
    </row>
    <row r="418" ht="18" customHeight="1" spans="1:14">
      <c r="A418" s="207"/>
      <c r="B418" s="210" t="s">
        <v>1492</v>
      </c>
      <c r="C418" s="211">
        <v>500</v>
      </c>
      <c r="D418" s="211">
        <f t="shared" si="9"/>
        <v>500</v>
      </c>
      <c r="E418" s="211">
        <v>500</v>
      </c>
      <c r="F418" s="211"/>
      <c r="G418" s="211"/>
      <c r="H418" s="211"/>
      <c r="I418" s="211"/>
      <c r="J418" s="211"/>
      <c r="K418" s="211"/>
      <c r="L418" s="211"/>
      <c r="M418" s="211"/>
      <c r="N418" s="213" t="s">
        <v>578</v>
      </c>
    </row>
    <row r="419" ht="18" customHeight="1" spans="1:14">
      <c r="A419" s="207"/>
      <c r="B419" s="210" t="s">
        <v>1493</v>
      </c>
      <c r="C419" s="211">
        <v>200</v>
      </c>
      <c r="D419" s="211">
        <f t="shared" si="9"/>
        <v>200</v>
      </c>
      <c r="E419" s="211">
        <v>200</v>
      </c>
      <c r="F419" s="211"/>
      <c r="G419" s="211"/>
      <c r="H419" s="211"/>
      <c r="I419" s="211"/>
      <c r="J419" s="211"/>
      <c r="K419" s="211"/>
      <c r="L419" s="211"/>
      <c r="M419" s="211"/>
      <c r="N419" s="213" t="s">
        <v>578</v>
      </c>
    </row>
    <row r="420" ht="18" customHeight="1" spans="1:14">
      <c r="A420" s="207"/>
      <c r="B420" s="210" t="s">
        <v>1494</v>
      </c>
      <c r="C420" s="211">
        <v>100</v>
      </c>
      <c r="D420" s="211">
        <f t="shared" si="9"/>
        <v>100</v>
      </c>
      <c r="E420" s="211">
        <v>100</v>
      </c>
      <c r="F420" s="211"/>
      <c r="G420" s="211"/>
      <c r="H420" s="211"/>
      <c r="I420" s="211"/>
      <c r="J420" s="211"/>
      <c r="K420" s="211"/>
      <c r="L420" s="211"/>
      <c r="M420" s="211"/>
      <c r="N420" s="213" t="s">
        <v>578</v>
      </c>
    </row>
    <row r="421" ht="18" customHeight="1" spans="1:14">
      <c r="A421" s="207"/>
      <c r="B421" s="210" t="s">
        <v>1495</v>
      </c>
      <c r="C421" s="211">
        <v>40</v>
      </c>
      <c r="D421" s="211">
        <f t="shared" si="9"/>
        <v>40</v>
      </c>
      <c r="E421" s="211">
        <v>40</v>
      </c>
      <c r="F421" s="211"/>
      <c r="G421" s="211"/>
      <c r="H421" s="211"/>
      <c r="I421" s="211"/>
      <c r="J421" s="211"/>
      <c r="K421" s="211"/>
      <c r="L421" s="211"/>
      <c r="M421" s="211"/>
      <c r="N421" s="213" t="s">
        <v>578</v>
      </c>
    </row>
    <row r="422" ht="18" customHeight="1" spans="1:14">
      <c r="A422" s="207"/>
      <c r="B422" s="210" t="s">
        <v>1496</v>
      </c>
      <c r="C422" s="211">
        <v>1500</v>
      </c>
      <c r="D422" s="211">
        <f t="shared" si="9"/>
        <v>1500</v>
      </c>
      <c r="E422" s="211">
        <v>1500</v>
      </c>
      <c r="F422" s="211"/>
      <c r="G422" s="211"/>
      <c r="H422" s="211"/>
      <c r="I422" s="211"/>
      <c r="J422" s="211"/>
      <c r="K422" s="211"/>
      <c r="L422" s="211"/>
      <c r="M422" s="211"/>
      <c r="N422" s="213" t="s">
        <v>578</v>
      </c>
    </row>
    <row r="423" ht="18" customHeight="1" spans="1:14">
      <c r="A423" s="207"/>
      <c r="B423" s="210" t="s">
        <v>1497</v>
      </c>
      <c r="C423" s="211">
        <v>300</v>
      </c>
      <c r="D423" s="211">
        <f t="shared" si="9"/>
        <v>300</v>
      </c>
      <c r="E423" s="211">
        <v>300</v>
      </c>
      <c r="F423" s="211"/>
      <c r="G423" s="211"/>
      <c r="H423" s="211"/>
      <c r="I423" s="211"/>
      <c r="J423" s="211"/>
      <c r="K423" s="211"/>
      <c r="L423" s="211"/>
      <c r="M423" s="211"/>
      <c r="N423" s="213" t="s">
        <v>578</v>
      </c>
    </row>
    <row r="424" ht="18" customHeight="1" spans="1:14">
      <c r="A424" s="207"/>
      <c r="B424" s="210" t="s">
        <v>1498</v>
      </c>
      <c r="C424" s="211">
        <v>400</v>
      </c>
      <c r="D424" s="211">
        <f t="shared" si="9"/>
        <v>400</v>
      </c>
      <c r="E424" s="211">
        <v>400</v>
      </c>
      <c r="F424" s="211"/>
      <c r="G424" s="211"/>
      <c r="H424" s="211"/>
      <c r="I424" s="211"/>
      <c r="J424" s="211"/>
      <c r="K424" s="211"/>
      <c r="L424" s="211"/>
      <c r="M424" s="211"/>
      <c r="N424" s="213" t="s">
        <v>578</v>
      </c>
    </row>
    <row r="425" ht="18" customHeight="1" spans="1:14">
      <c r="A425" s="207"/>
      <c r="B425" s="210" t="s">
        <v>1499</v>
      </c>
      <c r="C425" s="211">
        <v>45</v>
      </c>
      <c r="D425" s="211">
        <f t="shared" si="9"/>
        <v>45</v>
      </c>
      <c r="E425" s="211">
        <v>45</v>
      </c>
      <c r="F425" s="211"/>
      <c r="G425" s="211"/>
      <c r="H425" s="211"/>
      <c r="I425" s="211"/>
      <c r="J425" s="211"/>
      <c r="K425" s="211"/>
      <c r="L425" s="211"/>
      <c r="M425" s="211"/>
      <c r="N425" s="213" t="s">
        <v>578</v>
      </c>
    </row>
    <row r="426" ht="18" customHeight="1" spans="1:14">
      <c r="A426" s="207"/>
      <c r="B426" s="210" t="s">
        <v>1500</v>
      </c>
      <c r="C426" s="211">
        <v>230</v>
      </c>
      <c r="D426" s="211">
        <f t="shared" si="9"/>
        <v>230</v>
      </c>
      <c r="E426" s="211">
        <v>230</v>
      </c>
      <c r="F426" s="211"/>
      <c r="G426" s="211"/>
      <c r="H426" s="211"/>
      <c r="I426" s="211"/>
      <c r="J426" s="211"/>
      <c r="K426" s="211"/>
      <c r="L426" s="211"/>
      <c r="M426" s="211"/>
      <c r="N426" s="213" t="s">
        <v>578</v>
      </c>
    </row>
    <row r="427" ht="18" customHeight="1" spans="1:14">
      <c r="A427" s="207"/>
      <c r="B427" s="210" t="s">
        <v>1501</v>
      </c>
      <c r="C427" s="211">
        <v>65</v>
      </c>
      <c r="D427" s="211">
        <f t="shared" si="9"/>
        <v>65</v>
      </c>
      <c r="E427" s="211">
        <v>65</v>
      </c>
      <c r="F427" s="211"/>
      <c r="G427" s="211"/>
      <c r="H427" s="211"/>
      <c r="I427" s="211"/>
      <c r="J427" s="211"/>
      <c r="K427" s="211"/>
      <c r="L427" s="211"/>
      <c r="M427" s="211"/>
      <c r="N427" s="213" t="s">
        <v>578</v>
      </c>
    </row>
    <row r="428" ht="18" customHeight="1" spans="1:14">
      <c r="A428" s="207"/>
      <c r="B428" s="210" t="s">
        <v>1502</v>
      </c>
      <c r="C428" s="211">
        <v>123.8</v>
      </c>
      <c r="D428" s="211">
        <f t="shared" si="9"/>
        <v>123.8</v>
      </c>
      <c r="E428" s="211">
        <v>123.8</v>
      </c>
      <c r="F428" s="211"/>
      <c r="G428" s="211"/>
      <c r="H428" s="211"/>
      <c r="I428" s="211"/>
      <c r="J428" s="211"/>
      <c r="K428" s="211"/>
      <c r="L428" s="211"/>
      <c r="M428" s="211"/>
      <c r="N428" s="213" t="s">
        <v>578</v>
      </c>
    </row>
    <row r="429" ht="18" customHeight="1" spans="1:14">
      <c r="A429" s="207" t="s">
        <v>1085</v>
      </c>
      <c r="B429" s="204" t="s">
        <v>698</v>
      </c>
      <c r="C429" s="205">
        <v>35.5</v>
      </c>
      <c r="D429" s="205">
        <f t="shared" si="9"/>
        <v>35.5</v>
      </c>
      <c r="E429" s="205">
        <v>35.5</v>
      </c>
      <c r="F429" s="205"/>
      <c r="G429" s="205"/>
      <c r="H429" s="205"/>
      <c r="I429" s="205"/>
      <c r="J429" s="205"/>
      <c r="K429" s="205"/>
      <c r="L429" s="205"/>
      <c r="M429" s="205"/>
      <c r="N429" s="213" t="s">
        <v>578</v>
      </c>
    </row>
    <row r="430" ht="18" customHeight="1" spans="1:14">
      <c r="A430" s="207"/>
      <c r="B430" s="210" t="s">
        <v>1503</v>
      </c>
      <c r="C430" s="211">
        <v>5</v>
      </c>
      <c r="D430" s="211">
        <f t="shared" si="9"/>
        <v>5</v>
      </c>
      <c r="E430" s="211">
        <v>5</v>
      </c>
      <c r="F430" s="211"/>
      <c r="G430" s="211"/>
      <c r="H430" s="211"/>
      <c r="I430" s="211"/>
      <c r="J430" s="211"/>
      <c r="K430" s="211"/>
      <c r="L430" s="211"/>
      <c r="M430" s="211"/>
      <c r="N430" s="213" t="s">
        <v>578</v>
      </c>
    </row>
    <row r="431" ht="18" customHeight="1" spans="1:14">
      <c r="A431" s="207"/>
      <c r="B431" s="210" t="s">
        <v>1504</v>
      </c>
      <c r="C431" s="211">
        <v>20</v>
      </c>
      <c r="D431" s="211">
        <f t="shared" si="9"/>
        <v>20</v>
      </c>
      <c r="E431" s="211">
        <v>20</v>
      </c>
      <c r="F431" s="211"/>
      <c r="G431" s="211"/>
      <c r="H431" s="211"/>
      <c r="I431" s="211"/>
      <c r="J431" s="211"/>
      <c r="K431" s="211"/>
      <c r="L431" s="211"/>
      <c r="M431" s="211"/>
      <c r="N431" s="213" t="s">
        <v>578</v>
      </c>
    </row>
    <row r="432" ht="18" customHeight="1" spans="1:14">
      <c r="A432" s="207"/>
      <c r="B432" s="210" t="s">
        <v>1201</v>
      </c>
      <c r="C432" s="211">
        <v>10.5</v>
      </c>
      <c r="D432" s="211">
        <f t="shared" si="9"/>
        <v>10.5</v>
      </c>
      <c r="E432" s="211">
        <v>10.5</v>
      </c>
      <c r="F432" s="211"/>
      <c r="G432" s="211"/>
      <c r="H432" s="211"/>
      <c r="I432" s="211"/>
      <c r="J432" s="211"/>
      <c r="K432" s="211"/>
      <c r="L432" s="211"/>
      <c r="M432" s="211"/>
      <c r="N432" s="213" t="s">
        <v>578</v>
      </c>
    </row>
    <row r="433" ht="18" customHeight="1" spans="1:14">
      <c r="A433" s="207"/>
      <c r="B433" s="204" t="s">
        <v>699</v>
      </c>
      <c r="C433" s="205">
        <v>20407.713089</v>
      </c>
      <c r="D433" s="205">
        <v>20407.713089</v>
      </c>
      <c r="E433" s="205">
        <v>19301.713089</v>
      </c>
      <c r="F433" s="205">
        <v>1106</v>
      </c>
      <c r="G433" s="205"/>
      <c r="H433" s="205"/>
      <c r="I433" s="205"/>
      <c r="J433" s="205">
        <v>0</v>
      </c>
      <c r="K433" s="205">
        <v>0</v>
      </c>
      <c r="L433" s="205">
        <v>0</v>
      </c>
      <c r="M433" s="205"/>
      <c r="N433" s="213" t="s">
        <v>578</v>
      </c>
    </row>
    <row r="434" ht="18" customHeight="1" spans="1:14">
      <c r="A434" s="207">
        <v>301001</v>
      </c>
      <c r="B434" s="204" t="s">
        <v>700</v>
      </c>
      <c r="C434" s="205">
        <v>874.3</v>
      </c>
      <c r="D434" s="205">
        <f t="shared" ref="D434:D497" si="10">E434+F434</f>
        <v>874.3</v>
      </c>
      <c r="E434" s="205">
        <v>874.3</v>
      </c>
      <c r="F434" s="205"/>
      <c r="G434" s="205"/>
      <c r="H434" s="205"/>
      <c r="I434" s="205"/>
      <c r="J434" s="205"/>
      <c r="K434" s="205"/>
      <c r="L434" s="205"/>
      <c r="M434" s="205"/>
      <c r="N434" s="213" t="s">
        <v>578</v>
      </c>
    </row>
    <row r="435" ht="18" customHeight="1" spans="1:14">
      <c r="A435" s="207"/>
      <c r="B435" s="210" t="s">
        <v>1505</v>
      </c>
      <c r="C435" s="211">
        <v>350</v>
      </c>
      <c r="D435" s="211">
        <f t="shared" si="10"/>
        <v>350</v>
      </c>
      <c r="E435" s="211">
        <v>350</v>
      </c>
      <c r="F435" s="211"/>
      <c r="G435" s="211"/>
      <c r="H435" s="211"/>
      <c r="I435" s="211"/>
      <c r="J435" s="211"/>
      <c r="K435" s="211"/>
      <c r="L435" s="211"/>
      <c r="M435" s="211"/>
      <c r="N435" s="213" t="s">
        <v>578</v>
      </c>
    </row>
    <row r="436" ht="18" customHeight="1" spans="1:14">
      <c r="A436" s="207"/>
      <c r="B436" s="210" t="s">
        <v>1506</v>
      </c>
      <c r="C436" s="211">
        <v>80</v>
      </c>
      <c r="D436" s="211">
        <f t="shared" si="10"/>
        <v>80</v>
      </c>
      <c r="E436" s="211">
        <v>80</v>
      </c>
      <c r="F436" s="211"/>
      <c r="G436" s="211"/>
      <c r="H436" s="211"/>
      <c r="I436" s="211"/>
      <c r="J436" s="211"/>
      <c r="K436" s="211"/>
      <c r="L436" s="211"/>
      <c r="M436" s="211"/>
      <c r="N436" s="213" t="s">
        <v>578</v>
      </c>
    </row>
    <row r="437" ht="18" customHeight="1" spans="1:14">
      <c r="A437" s="207"/>
      <c r="B437" s="210" t="s">
        <v>1507</v>
      </c>
      <c r="C437" s="211">
        <v>20</v>
      </c>
      <c r="D437" s="211">
        <f t="shared" si="10"/>
        <v>20</v>
      </c>
      <c r="E437" s="211">
        <v>20</v>
      </c>
      <c r="F437" s="211"/>
      <c r="G437" s="211"/>
      <c r="H437" s="211"/>
      <c r="I437" s="211"/>
      <c r="J437" s="211"/>
      <c r="K437" s="211"/>
      <c r="L437" s="211"/>
      <c r="M437" s="211"/>
      <c r="N437" s="213" t="s">
        <v>578</v>
      </c>
    </row>
    <row r="438" ht="18" customHeight="1" spans="1:14">
      <c r="A438" s="207"/>
      <c r="B438" s="210" t="s">
        <v>1508</v>
      </c>
      <c r="C438" s="211">
        <v>10</v>
      </c>
      <c r="D438" s="211">
        <f t="shared" si="10"/>
        <v>10</v>
      </c>
      <c r="E438" s="211">
        <v>10</v>
      </c>
      <c r="F438" s="211"/>
      <c r="G438" s="211"/>
      <c r="H438" s="211"/>
      <c r="I438" s="211"/>
      <c r="J438" s="211"/>
      <c r="K438" s="211"/>
      <c r="L438" s="211"/>
      <c r="M438" s="211"/>
      <c r="N438" s="213" t="s">
        <v>578</v>
      </c>
    </row>
    <row r="439" ht="18" customHeight="1" spans="1:14">
      <c r="A439" s="207"/>
      <c r="B439" s="210" t="s">
        <v>1509</v>
      </c>
      <c r="C439" s="211">
        <v>40</v>
      </c>
      <c r="D439" s="211">
        <f t="shared" si="10"/>
        <v>40</v>
      </c>
      <c r="E439" s="211">
        <v>40</v>
      </c>
      <c r="F439" s="211"/>
      <c r="G439" s="211"/>
      <c r="H439" s="211"/>
      <c r="I439" s="211"/>
      <c r="J439" s="211"/>
      <c r="K439" s="211"/>
      <c r="L439" s="211"/>
      <c r="M439" s="211"/>
      <c r="N439" s="213" t="s">
        <v>578</v>
      </c>
    </row>
    <row r="440" ht="18" customHeight="1" spans="1:14">
      <c r="A440" s="207"/>
      <c r="B440" s="210" t="s">
        <v>1510</v>
      </c>
      <c r="C440" s="211">
        <v>6</v>
      </c>
      <c r="D440" s="211">
        <f t="shared" si="10"/>
        <v>6</v>
      </c>
      <c r="E440" s="211">
        <v>6</v>
      </c>
      <c r="F440" s="211"/>
      <c r="G440" s="211"/>
      <c r="H440" s="211"/>
      <c r="I440" s="211"/>
      <c r="J440" s="211"/>
      <c r="K440" s="211"/>
      <c r="L440" s="211"/>
      <c r="M440" s="211"/>
      <c r="N440" s="213" t="s">
        <v>578</v>
      </c>
    </row>
    <row r="441" ht="18" customHeight="1" spans="1:14">
      <c r="A441" s="207"/>
      <c r="B441" s="210" t="s">
        <v>1511</v>
      </c>
      <c r="C441" s="211">
        <v>37</v>
      </c>
      <c r="D441" s="211">
        <f t="shared" si="10"/>
        <v>37</v>
      </c>
      <c r="E441" s="211">
        <v>37</v>
      </c>
      <c r="F441" s="211"/>
      <c r="G441" s="211"/>
      <c r="H441" s="211"/>
      <c r="I441" s="211"/>
      <c r="J441" s="211"/>
      <c r="K441" s="211"/>
      <c r="L441" s="211"/>
      <c r="M441" s="211"/>
      <c r="N441" s="213" t="s">
        <v>578</v>
      </c>
    </row>
    <row r="442" ht="18" customHeight="1" spans="1:14">
      <c r="A442" s="207"/>
      <c r="B442" s="210" t="s">
        <v>1512</v>
      </c>
      <c r="C442" s="211">
        <v>40</v>
      </c>
      <c r="D442" s="211">
        <f t="shared" si="10"/>
        <v>40</v>
      </c>
      <c r="E442" s="211">
        <v>40</v>
      </c>
      <c r="F442" s="211"/>
      <c r="G442" s="211"/>
      <c r="H442" s="211"/>
      <c r="I442" s="211"/>
      <c r="J442" s="211"/>
      <c r="K442" s="211"/>
      <c r="L442" s="211"/>
      <c r="M442" s="211"/>
      <c r="N442" s="213" t="s">
        <v>578</v>
      </c>
    </row>
    <row r="443" ht="18" customHeight="1" spans="1:14">
      <c r="A443" s="207"/>
      <c r="B443" s="210" t="s">
        <v>1513</v>
      </c>
      <c r="C443" s="211">
        <v>36</v>
      </c>
      <c r="D443" s="211">
        <f t="shared" si="10"/>
        <v>36</v>
      </c>
      <c r="E443" s="211">
        <v>36</v>
      </c>
      <c r="F443" s="211"/>
      <c r="G443" s="211"/>
      <c r="H443" s="211"/>
      <c r="I443" s="211"/>
      <c r="J443" s="211"/>
      <c r="K443" s="211"/>
      <c r="L443" s="211"/>
      <c r="M443" s="211"/>
      <c r="N443" s="213" t="s">
        <v>578</v>
      </c>
    </row>
    <row r="444" ht="18" customHeight="1" spans="1:14">
      <c r="A444" s="207"/>
      <c r="B444" s="210" t="s">
        <v>1514</v>
      </c>
      <c r="C444" s="211">
        <v>23</v>
      </c>
      <c r="D444" s="211">
        <f t="shared" si="10"/>
        <v>23</v>
      </c>
      <c r="E444" s="211">
        <v>23</v>
      </c>
      <c r="F444" s="211"/>
      <c r="G444" s="211"/>
      <c r="H444" s="211"/>
      <c r="I444" s="211"/>
      <c r="J444" s="211"/>
      <c r="K444" s="211"/>
      <c r="L444" s="211"/>
      <c r="M444" s="211"/>
      <c r="N444" s="213" t="s">
        <v>578</v>
      </c>
    </row>
    <row r="445" ht="18" customHeight="1" spans="1:14">
      <c r="A445" s="207"/>
      <c r="B445" s="210" t="s">
        <v>1515</v>
      </c>
      <c r="C445" s="211">
        <v>9.3</v>
      </c>
      <c r="D445" s="211">
        <f t="shared" si="10"/>
        <v>9.3</v>
      </c>
      <c r="E445" s="211">
        <v>9.3</v>
      </c>
      <c r="F445" s="211"/>
      <c r="G445" s="211"/>
      <c r="H445" s="211"/>
      <c r="I445" s="211"/>
      <c r="J445" s="211"/>
      <c r="K445" s="211"/>
      <c r="L445" s="211"/>
      <c r="M445" s="211"/>
      <c r="N445" s="213" t="s">
        <v>578</v>
      </c>
    </row>
    <row r="446" ht="18" customHeight="1" spans="1:14">
      <c r="A446" s="207"/>
      <c r="B446" s="210" t="s">
        <v>1516</v>
      </c>
      <c r="C446" s="211">
        <v>100</v>
      </c>
      <c r="D446" s="211">
        <f t="shared" si="10"/>
        <v>100</v>
      </c>
      <c r="E446" s="211">
        <v>100</v>
      </c>
      <c r="F446" s="211"/>
      <c r="G446" s="211"/>
      <c r="H446" s="211"/>
      <c r="I446" s="211"/>
      <c r="J446" s="211"/>
      <c r="K446" s="211"/>
      <c r="L446" s="211"/>
      <c r="M446" s="211"/>
      <c r="N446" s="213" t="s">
        <v>578</v>
      </c>
    </row>
    <row r="447" ht="18" customHeight="1" spans="1:14">
      <c r="A447" s="207"/>
      <c r="B447" s="210" t="s">
        <v>1517</v>
      </c>
      <c r="C447" s="211">
        <v>100</v>
      </c>
      <c r="D447" s="211">
        <f t="shared" si="10"/>
        <v>100</v>
      </c>
      <c r="E447" s="211">
        <v>100</v>
      </c>
      <c r="F447" s="211"/>
      <c r="G447" s="211"/>
      <c r="H447" s="211"/>
      <c r="I447" s="211"/>
      <c r="J447" s="211"/>
      <c r="K447" s="211"/>
      <c r="L447" s="211"/>
      <c r="M447" s="211"/>
      <c r="N447" s="213" t="s">
        <v>578</v>
      </c>
    </row>
    <row r="448" ht="18" customHeight="1" spans="1:14">
      <c r="A448" s="207"/>
      <c r="B448" s="210" t="s">
        <v>1518</v>
      </c>
      <c r="C448" s="211">
        <v>8</v>
      </c>
      <c r="D448" s="211">
        <f t="shared" si="10"/>
        <v>8</v>
      </c>
      <c r="E448" s="211">
        <v>8</v>
      </c>
      <c r="F448" s="211"/>
      <c r="G448" s="211"/>
      <c r="H448" s="211"/>
      <c r="I448" s="211"/>
      <c r="J448" s="211"/>
      <c r="K448" s="211"/>
      <c r="L448" s="211"/>
      <c r="M448" s="211"/>
      <c r="N448" s="213" t="s">
        <v>578</v>
      </c>
    </row>
    <row r="449" ht="18" customHeight="1" spans="1:14">
      <c r="A449" s="207"/>
      <c r="B449" s="210" t="s">
        <v>1519</v>
      </c>
      <c r="C449" s="211">
        <v>15</v>
      </c>
      <c r="D449" s="211">
        <f t="shared" si="10"/>
        <v>15</v>
      </c>
      <c r="E449" s="211">
        <v>15</v>
      </c>
      <c r="F449" s="211"/>
      <c r="G449" s="211"/>
      <c r="H449" s="211"/>
      <c r="I449" s="211"/>
      <c r="J449" s="211"/>
      <c r="K449" s="211"/>
      <c r="L449" s="211"/>
      <c r="M449" s="211"/>
      <c r="N449" s="213" t="s">
        <v>578</v>
      </c>
    </row>
    <row r="450" ht="18" customHeight="1" spans="1:14">
      <c r="A450" s="207">
        <v>302001</v>
      </c>
      <c r="B450" s="204" t="s">
        <v>701</v>
      </c>
      <c r="C450" s="205">
        <v>1437.8</v>
      </c>
      <c r="D450" s="205">
        <f t="shared" si="10"/>
        <v>1437.8</v>
      </c>
      <c r="E450" s="205">
        <v>1187.8</v>
      </c>
      <c r="F450" s="205">
        <v>250</v>
      </c>
      <c r="G450" s="205"/>
      <c r="H450" s="205"/>
      <c r="I450" s="205"/>
      <c r="J450" s="205"/>
      <c r="K450" s="205"/>
      <c r="L450" s="205"/>
      <c r="M450" s="205"/>
      <c r="N450" s="213" t="s">
        <v>578</v>
      </c>
    </row>
    <row r="451" ht="18" customHeight="1" spans="1:14">
      <c r="A451" s="207"/>
      <c r="B451" s="210" t="s">
        <v>1520</v>
      </c>
      <c r="C451" s="211">
        <v>204</v>
      </c>
      <c r="D451" s="211">
        <f t="shared" si="10"/>
        <v>204</v>
      </c>
      <c r="E451" s="211"/>
      <c r="F451" s="211">
        <v>204</v>
      </c>
      <c r="G451" s="211"/>
      <c r="H451" s="211"/>
      <c r="I451" s="211"/>
      <c r="J451" s="211"/>
      <c r="K451" s="211"/>
      <c r="L451" s="211"/>
      <c r="M451" s="211"/>
      <c r="N451" s="213" t="s">
        <v>578</v>
      </c>
    </row>
    <row r="452" ht="18" customHeight="1" spans="1:14">
      <c r="A452" s="207"/>
      <c r="B452" s="210" t="s">
        <v>1521</v>
      </c>
      <c r="C452" s="211">
        <v>300</v>
      </c>
      <c r="D452" s="211">
        <f t="shared" si="10"/>
        <v>300</v>
      </c>
      <c r="E452" s="211">
        <v>300</v>
      </c>
      <c r="F452" s="211"/>
      <c r="G452" s="211"/>
      <c r="H452" s="211"/>
      <c r="I452" s="211"/>
      <c r="J452" s="211"/>
      <c r="K452" s="211"/>
      <c r="L452" s="211"/>
      <c r="M452" s="211"/>
      <c r="N452" s="213" t="s">
        <v>578</v>
      </c>
    </row>
    <row r="453" ht="18" customHeight="1" spans="1:14">
      <c r="A453" s="207"/>
      <c r="B453" s="210" t="s">
        <v>1522</v>
      </c>
      <c r="C453" s="211">
        <v>8</v>
      </c>
      <c r="D453" s="211">
        <f t="shared" si="10"/>
        <v>8</v>
      </c>
      <c r="E453" s="211">
        <v>8</v>
      </c>
      <c r="F453" s="211"/>
      <c r="G453" s="211"/>
      <c r="H453" s="211"/>
      <c r="I453" s="211"/>
      <c r="J453" s="211"/>
      <c r="K453" s="211"/>
      <c r="L453" s="211"/>
      <c r="M453" s="211"/>
      <c r="N453" s="213" t="s">
        <v>578</v>
      </c>
    </row>
    <row r="454" ht="18" customHeight="1" spans="1:14">
      <c r="A454" s="207"/>
      <c r="B454" s="210" t="s">
        <v>1523</v>
      </c>
      <c r="C454" s="211">
        <v>10</v>
      </c>
      <c r="D454" s="211">
        <f t="shared" si="10"/>
        <v>10</v>
      </c>
      <c r="E454" s="211">
        <v>10</v>
      </c>
      <c r="F454" s="211"/>
      <c r="G454" s="211"/>
      <c r="H454" s="211"/>
      <c r="I454" s="211"/>
      <c r="J454" s="211"/>
      <c r="K454" s="211"/>
      <c r="L454" s="211"/>
      <c r="M454" s="211"/>
      <c r="N454" s="213" t="s">
        <v>578</v>
      </c>
    </row>
    <row r="455" ht="18" customHeight="1" spans="1:14">
      <c r="A455" s="207"/>
      <c r="B455" s="210" t="s">
        <v>1524</v>
      </c>
      <c r="C455" s="211">
        <v>30</v>
      </c>
      <c r="D455" s="211">
        <f t="shared" si="10"/>
        <v>30</v>
      </c>
      <c r="E455" s="211">
        <v>30</v>
      </c>
      <c r="F455" s="211"/>
      <c r="G455" s="211"/>
      <c r="H455" s="211"/>
      <c r="I455" s="211"/>
      <c r="J455" s="211"/>
      <c r="K455" s="211"/>
      <c r="L455" s="211"/>
      <c r="M455" s="211"/>
      <c r="N455" s="213" t="s">
        <v>578</v>
      </c>
    </row>
    <row r="456" ht="18" customHeight="1" spans="1:14">
      <c r="A456" s="207"/>
      <c r="B456" s="210" t="s">
        <v>1525</v>
      </c>
      <c r="C456" s="211">
        <v>170</v>
      </c>
      <c r="D456" s="211">
        <f t="shared" si="10"/>
        <v>170</v>
      </c>
      <c r="E456" s="211">
        <v>170</v>
      </c>
      <c r="F456" s="211"/>
      <c r="G456" s="211"/>
      <c r="H456" s="211"/>
      <c r="I456" s="211"/>
      <c r="J456" s="211"/>
      <c r="K456" s="211"/>
      <c r="L456" s="211"/>
      <c r="M456" s="211"/>
      <c r="N456" s="213" t="s">
        <v>578</v>
      </c>
    </row>
    <row r="457" ht="18" customHeight="1" spans="1:14">
      <c r="A457" s="207"/>
      <c r="B457" s="210" t="s">
        <v>1526</v>
      </c>
      <c r="C457" s="211">
        <v>5.26</v>
      </c>
      <c r="D457" s="211">
        <f t="shared" si="10"/>
        <v>5.26</v>
      </c>
      <c r="E457" s="211">
        <v>5.26</v>
      </c>
      <c r="F457" s="211"/>
      <c r="G457" s="211"/>
      <c r="H457" s="211"/>
      <c r="I457" s="211"/>
      <c r="J457" s="211"/>
      <c r="K457" s="211"/>
      <c r="L457" s="211"/>
      <c r="M457" s="211"/>
      <c r="N457" s="213" t="s">
        <v>578</v>
      </c>
    </row>
    <row r="458" ht="18" customHeight="1" spans="1:14">
      <c r="A458" s="207"/>
      <c r="B458" s="210" t="s">
        <v>1527</v>
      </c>
      <c r="C458" s="211">
        <v>30</v>
      </c>
      <c r="D458" s="211">
        <f t="shared" si="10"/>
        <v>30</v>
      </c>
      <c r="E458" s="211"/>
      <c r="F458" s="211">
        <v>30</v>
      </c>
      <c r="G458" s="211"/>
      <c r="H458" s="211"/>
      <c r="I458" s="211"/>
      <c r="J458" s="211"/>
      <c r="K458" s="211"/>
      <c r="L458" s="211"/>
      <c r="M458" s="211"/>
      <c r="N458" s="213" t="s">
        <v>578</v>
      </c>
    </row>
    <row r="459" ht="18" customHeight="1" spans="1:14">
      <c r="A459" s="207"/>
      <c r="B459" s="210" t="s">
        <v>1528</v>
      </c>
      <c r="C459" s="211">
        <v>10</v>
      </c>
      <c r="D459" s="211">
        <f t="shared" si="10"/>
        <v>10</v>
      </c>
      <c r="E459" s="211">
        <v>10</v>
      </c>
      <c r="F459" s="211"/>
      <c r="G459" s="211"/>
      <c r="H459" s="211"/>
      <c r="I459" s="211"/>
      <c r="J459" s="211"/>
      <c r="K459" s="211"/>
      <c r="L459" s="211"/>
      <c r="M459" s="211"/>
      <c r="N459" s="213" t="s">
        <v>578</v>
      </c>
    </row>
    <row r="460" ht="18" customHeight="1" spans="1:14">
      <c r="A460" s="207"/>
      <c r="B460" s="210" t="s">
        <v>1529</v>
      </c>
      <c r="C460" s="211">
        <v>124.448</v>
      </c>
      <c r="D460" s="211">
        <f t="shared" si="10"/>
        <v>124.448</v>
      </c>
      <c r="E460" s="211">
        <v>124.448</v>
      </c>
      <c r="F460" s="211"/>
      <c r="G460" s="211"/>
      <c r="H460" s="211"/>
      <c r="I460" s="211"/>
      <c r="J460" s="211"/>
      <c r="K460" s="211"/>
      <c r="L460" s="211"/>
      <c r="M460" s="211"/>
      <c r="N460" s="213" t="s">
        <v>578</v>
      </c>
    </row>
    <row r="461" ht="18" customHeight="1" spans="1:14">
      <c r="A461" s="207"/>
      <c r="B461" s="210" t="s">
        <v>1530</v>
      </c>
      <c r="C461" s="211">
        <v>8.4</v>
      </c>
      <c r="D461" s="211">
        <f t="shared" si="10"/>
        <v>8.4</v>
      </c>
      <c r="E461" s="211">
        <v>8.4</v>
      </c>
      <c r="F461" s="211"/>
      <c r="G461" s="211"/>
      <c r="H461" s="211"/>
      <c r="I461" s="211"/>
      <c r="J461" s="211"/>
      <c r="K461" s="211"/>
      <c r="L461" s="211"/>
      <c r="M461" s="211"/>
      <c r="N461" s="213" t="s">
        <v>578</v>
      </c>
    </row>
    <row r="462" ht="18" customHeight="1" spans="1:14">
      <c r="A462" s="207"/>
      <c r="B462" s="210" t="s">
        <v>1531</v>
      </c>
      <c r="C462" s="211">
        <v>20</v>
      </c>
      <c r="D462" s="211">
        <f t="shared" si="10"/>
        <v>20</v>
      </c>
      <c r="E462" s="211">
        <v>20</v>
      </c>
      <c r="F462" s="211"/>
      <c r="G462" s="211"/>
      <c r="H462" s="211"/>
      <c r="I462" s="211"/>
      <c r="J462" s="211"/>
      <c r="K462" s="211"/>
      <c r="L462" s="211"/>
      <c r="M462" s="211"/>
      <c r="N462" s="213" t="s">
        <v>578</v>
      </c>
    </row>
    <row r="463" ht="18" customHeight="1" spans="1:14">
      <c r="A463" s="207"/>
      <c r="B463" s="210" t="s">
        <v>1532</v>
      </c>
      <c r="C463" s="211">
        <v>90</v>
      </c>
      <c r="D463" s="211">
        <f t="shared" si="10"/>
        <v>90</v>
      </c>
      <c r="E463" s="211">
        <v>90</v>
      </c>
      <c r="F463" s="211"/>
      <c r="G463" s="211"/>
      <c r="H463" s="211"/>
      <c r="I463" s="211"/>
      <c r="J463" s="211"/>
      <c r="K463" s="211"/>
      <c r="L463" s="211"/>
      <c r="M463" s="211"/>
      <c r="N463" s="213" t="s">
        <v>578</v>
      </c>
    </row>
    <row r="464" ht="18" customHeight="1" spans="1:14">
      <c r="A464" s="207"/>
      <c r="B464" s="210" t="s">
        <v>1533</v>
      </c>
      <c r="C464" s="211">
        <v>8</v>
      </c>
      <c r="D464" s="211">
        <f t="shared" si="10"/>
        <v>8</v>
      </c>
      <c r="E464" s="211">
        <v>8</v>
      </c>
      <c r="F464" s="211"/>
      <c r="G464" s="211"/>
      <c r="H464" s="211"/>
      <c r="I464" s="211"/>
      <c r="J464" s="211"/>
      <c r="K464" s="211"/>
      <c r="L464" s="211"/>
      <c r="M464" s="211"/>
      <c r="N464" s="213" t="s">
        <v>578</v>
      </c>
    </row>
    <row r="465" ht="18" customHeight="1" spans="1:14">
      <c r="A465" s="207"/>
      <c r="B465" s="210" t="s">
        <v>1534</v>
      </c>
      <c r="C465" s="211">
        <v>139.792</v>
      </c>
      <c r="D465" s="211">
        <f t="shared" si="10"/>
        <v>139.792</v>
      </c>
      <c r="E465" s="211">
        <v>139.792</v>
      </c>
      <c r="F465" s="211"/>
      <c r="G465" s="211"/>
      <c r="H465" s="211"/>
      <c r="I465" s="211"/>
      <c r="J465" s="211"/>
      <c r="K465" s="211"/>
      <c r="L465" s="211"/>
      <c r="M465" s="211"/>
      <c r="N465" s="213" t="s">
        <v>578</v>
      </c>
    </row>
    <row r="466" ht="18" customHeight="1" spans="1:14">
      <c r="A466" s="207"/>
      <c r="B466" s="210" t="s">
        <v>1535</v>
      </c>
      <c r="C466" s="211">
        <v>25</v>
      </c>
      <c r="D466" s="211">
        <f t="shared" si="10"/>
        <v>25</v>
      </c>
      <c r="E466" s="211">
        <v>25</v>
      </c>
      <c r="F466" s="211"/>
      <c r="G466" s="211"/>
      <c r="H466" s="211"/>
      <c r="I466" s="211"/>
      <c r="J466" s="211"/>
      <c r="K466" s="211"/>
      <c r="L466" s="211"/>
      <c r="M466" s="211"/>
      <c r="N466" s="213" t="s">
        <v>578</v>
      </c>
    </row>
    <row r="467" ht="18" customHeight="1" spans="1:14">
      <c r="A467" s="207"/>
      <c r="B467" s="210" t="s">
        <v>1536</v>
      </c>
      <c r="C467" s="211">
        <v>5</v>
      </c>
      <c r="D467" s="211">
        <f t="shared" si="10"/>
        <v>5</v>
      </c>
      <c r="E467" s="211">
        <v>5</v>
      </c>
      <c r="F467" s="211"/>
      <c r="G467" s="211"/>
      <c r="H467" s="211"/>
      <c r="I467" s="211"/>
      <c r="J467" s="211"/>
      <c r="K467" s="211"/>
      <c r="L467" s="211"/>
      <c r="M467" s="211"/>
      <c r="N467" s="213" t="s">
        <v>578</v>
      </c>
    </row>
    <row r="468" ht="18" customHeight="1" spans="1:14">
      <c r="A468" s="207"/>
      <c r="B468" s="210" t="s">
        <v>1537</v>
      </c>
      <c r="C468" s="211">
        <v>10</v>
      </c>
      <c r="D468" s="211">
        <f t="shared" si="10"/>
        <v>10</v>
      </c>
      <c r="E468" s="211">
        <v>10</v>
      </c>
      <c r="F468" s="211"/>
      <c r="G468" s="211"/>
      <c r="H468" s="211"/>
      <c r="I468" s="211"/>
      <c r="J468" s="211"/>
      <c r="K468" s="211"/>
      <c r="L468" s="211"/>
      <c r="M468" s="211"/>
      <c r="N468" s="213" t="s">
        <v>578</v>
      </c>
    </row>
    <row r="469" ht="18" customHeight="1" spans="1:14">
      <c r="A469" s="207"/>
      <c r="B469" s="210" t="s">
        <v>1538</v>
      </c>
      <c r="C469" s="211">
        <v>96.4</v>
      </c>
      <c r="D469" s="211">
        <f t="shared" si="10"/>
        <v>96.4</v>
      </c>
      <c r="E469" s="211">
        <v>96.4</v>
      </c>
      <c r="F469" s="211"/>
      <c r="G469" s="211"/>
      <c r="H469" s="211"/>
      <c r="I469" s="211"/>
      <c r="J469" s="211"/>
      <c r="K469" s="211"/>
      <c r="L469" s="211"/>
      <c r="M469" s="211"/>
      <c r="N469" s="213" t="s">
        <v>578</v>
      </c>
    </row>
    <row r="470" ht="18" customHeight="1" spans="1:14">
      <c r="A470" s="207"/>
      <c r="B470" s="210" t="s">
        <v>1539</v>
      </c>
      <c r="C470" s="211">
        <v>12</v>
      </c>
      <c r="D470" s="211">
        <f t="shared" si="10"/>
        <v>12</v>
      </c>
      <c r="E470" s="211">
        <v>12</v>
      </c>
      <c r="F470" s="211"/>
      <c r="G470" s="211"/>
      <c r="H470" s="211"/>
      <c r="I470" s="211"/>
      <c r="J470" s="211"/>
      <c r="K470" s="211"/>
      <c r="L470" s="211"/>
      <c r="M470" s="211"/>
      <c r="N470" s="213" t="s">
        <v>578</v>
      </c>
    </row>
    <row r="471" ht="18" customHeight="1" spans="1:14">
      <c r="A471" s="207"/>
      <c r="B471" s="210" t="s">
        <v>1540</v>
      </c>
      <c r="C471" s="211">
        <v>16</v>
      </c>
      <c r="D471" s="211">
        <f t="shared" si="10"/>
        <v>16</v>
      </c>
      <c r="E471" s="211"/>
      <c r="F471" s="211">
        <v>16</v>
      </c>
      <c r="G471" s="211"/>
      <c r="H471" s="211"/>
      <c r="I471" s="211"/>
      <c r="J471" s="211"/>
      <c r="K471" s="211"/>
      <c r="L471" s="211"/>
      <c r="M471" s="211"/>
      <c r="N471" s="213" t="s">
        <v>578</v>
      </c>
    </row>
    <row r="472" ht="18" customHeight="1" spans="1:14">
      <c r="A472" s="207"/>
      <c r="B472" s="210" t="s">
        <v>1541</v>
      </c>
      <c r="C472" s="211">
        <v>40</v>
      </c>
      <c r="D472" s="211">
        <f t="shared" si="10"/>
        <v>40</v>
      </c>
      <c r="E472" s="211">
        <v>40</v>
      </c>
      <c r="F472" s="211"/>
      <c r="G472" s="211"/>
      <c r="H472" s="211"/>
      <c r="I472" s="211"/>
      <c r="J472" s="211"/>
      <c r="K472" s="211"/>
      <c r="L472" s="211"/>
      <c r="M472" s="211"/>
      <c r="N472" s="213" t="s">
        <v>578</v>
      </c>
    </row>
    <row r="473" ht="18" customHeight="1" spans="1:14">
      <c r="A473" s="207"/>
      <c r="B473" s="210" t="s">
        <v>1201</v>
      </c>
      <c r="C473" s="211">
        <v>10.5</v>
      </c>
      <c r="D473" s="211">
        <f t="shared" si="10"/>
        <v>10.5</v>
      </c>
      <c r="E473" s="211">
        <v>10.5</v>
      </c>
      <c r="F473" s="211"/>
      <c r="G473" s="211"/>
      <c r="H473" s="211"/>
      <c r="I473" s="211"/>
      <c r="J473" s="211"/>
      <c r="K473" s="211"/>
      <c r="L473" s="211"/>
      <c r="M473" s="211"/>
      <c r="N473" s="213" t="s">
        <v>578</v>
      </c>
    </row>
    <row r="474" ht="18" customHeight="1" spans="1:14">
      <c r="A474" s="207"/>
      <c r="B474" s="210" t="s">
        <v>1542</v>
      </c>
      <c r="C474" s="211">
        <v>15</v>
      </c>
      <c r="D474" s="211">
        <f t="shared" si="10"/>
        <v>15</v>
      </c>
      <c r="E474" s="211">
        <v>15</v>
      </c>
      <c r="F474" s="211"/>
      <c r="G474" s="211"/>
      <c r="H474" s="211"/>
      <c r="I474" s="211"/>
      <c r="J474" s="211"/>
      <c r="K474" s="211"/>
      <c r="L474" s="211"/>
      <c r="M474" s="211"/>
      <c r="N474" s="213" t="s">
        <v>578</v>
      </c>
    </row>
    <row r="475" ht="18" customHeight="1" spans="1:14">
      <c r="A475" s="207"/>
      <c r="B475" s="210" t="s">
        <v>1543</v>
      </c>
      <c r="C475" s="211">
        <v>40</v>
      </c>
      <c r="D475" s="211">
        <f t="shared" si="10"/>
        <v>40</v>
      </c>
      <c r="E475" s="211">
        <v>40</v>
      </c>
      <c r="F475" s="211"/>
      <c r="G475" s="211"/>
      <c r="H475" s="211"/>
      <c r="I475" s="211"/>
      <c r="J475" s="211"/>
      <c r="K475" s="211"/>
      <c r="L475" s="211"/>
      <c r="M475" s="211"/>
      <c r="N475" s="213" t="s">
        <v>578</v>
      </c>
    </row>
    <row r="476" ht="18" customHeight="1" spans="1:14">
      <c r="A476" s="207"/>
      <c r="B476" s="210" t="s">
        <v>1544</v>
      </c>
      <c r="C476" s="211">
        <v>10</v>
      </c>
      <c r="D476" s="211">
        <f t="shared" si="10"/>
        <v>10</v>
      </c>
      <c r="E476" s="211">
        <v>10</v>
      </c>
      <c r="F476" s="211"/>
      <c r="G476" s="211"/>
      <c r="H476" s="211"/>
      <c r="I476" s="211"/>
      <c r="J476" s="211"/>
      <c r="K476" s="211"/>
      <c r="L476" s="211"/>
      <c r="M476" s="211"/>
      <c r="N476" s="213" t="s">
        <v>578</v>
      </c>
    </row>
    <row r="477" ht="18" customHeight="1" spans="1:14">
      <c r="A477" s="207">
        <v>302007</v>
      </c>
      <c r="B477" s="204" t="s">
        <v>702</v>
      </c>
      <c r="C477" s="205">
        <v>108.7</v>
      </c>
      <c r="D477" s="205">
        <f t="shared" si="10"/>
        <v>108.7</v>
      </c>
      <c r="E477" s="205">
        <v>108.7</v>
      </c>
      <c r="F477" s="205"/>
      <c r="G477" s="205"/>
      <c r="H477" s="205"/>
      <c r="I477" s="205"/>
      <c r="J477" s="205"/>
      <c r="K477" s="205"/>
      <c r="L477" s="205"/>
      <c r="M477" s="205"/>
      <c r="N477" s="213" t="s">
        <v>578</v>
      </c>
    </row>
    <row r="478" ht="18" customHeight="1" spans="1:14">
      <c r="A478" s="207"/>
      <c r="B478" s="210" t="s">
        <v>1545</v>
      </c>
      <c r="C478" s="211">
        <v>108.7</v>
      </c>
      <c r="D478" s="211">
        <f t="shared" si="10"/>
        <v>108.7</v>
      </c>
      <c r="E478" s="211">
        <v>108.7</v>
      </c>
      <c r="F478" s="211"/>
      <c r="G478" s="211"/>
      <c r="H478" s="211"/>
      <c r="I478" s="211"/>
      <c r="J478" s="211"/>
      <c r="K478" s="211"/>
      <c r="L478" s="211"/>
      <c r="M478" s="211"/>
      <c r="N478" s="213" t="s">
        <v>578</v>
      </c>
    </row>
    <row r="479" ht="18" customHeight="1" spans="1:14">
      <c r="A479" s="207">
        <v>302008</v>
      </c>
      <c r="B479" s="204" t="s">
        <v>703</v>
      </c>
      <c r="C479" s="205">
        <v>70</v>
      </c>
      <c r="D479" s="205">
        <f t="shared" si="10"/>
        <v>70</v>
      </c>
      <c r="E479" s="205"/>
      <c r="F479" s="205">
        <v>70</v>
      </c>
      <c r="G479" s="205"/>
      <c r="H479" s="205"/>
      <c r="I479" s="205"/>
      <c r="J479" s="205"/>
      <c r="K479" s="205"/>
      <c r="L479" s="205"/>
      <c r="M479" s="205"/>
      <c r="N479" s="213" t="s">
        <v>578</v>
      </c>
    </row>
    <row r="480" ht="18" customHeight="1" spans="1:14">
      <c r="A480" s="207"/>
      <c r="B480" s="210" t="s">
        <v>1546</v>
      </c>
      <c r="C480" s="211">
        <v>35</v>
      </c>
      <c r="D480" s="211">
        <f t="shared" si="10"/>
        <v>35</v>
      </c>
      <c r="E480" s="211"/>
      <c r="F480" s="211">
        <v>35</v>
      </c>
      <c r="G480" s="211"/>
      <c r="H480" s="211"/>
      <c r="I480" s="211"/>
      <c r="J480" s="211"/>
      <c r="K480" s="211"/>
      <c r="L480" s="211"/>
      <c r="M480" s="211"/>
      <c r="N480" s="213" t="s">
        <v>578</v>
      </c>
    </row>
    <row r="481" ht="18" customHeight="1" spans="1:14">
      <c r="A481" s="207"/>
      <c r="B481" s="210" t="s">
        <v>1547</v>
      </c>
      <c r="C481" s="211">
        <v>35</v>
      </c>
      <c r="D481" s="211">
        <f t="shared" si="10"/>
        <v>35</v>
      </c>
      <c r="E481" s="211"/>
      <c r="F481" s="211">
        <v>35</v>
      </c>
      <c r="G481" s="211"/>
      <c r="H481" s="211"/>
      <c r="I481" s="211"/>
      <c r="J481" s="211"/>
      <c r="K481" s="211"/>
      <c r="L481" s="211"/>
      <c r="M481" s="211"/>
      <c r="N481" s="213" t="s">
        <v>578</v>
      </c>
    </row>
    <row r="482" ht="18" customHeight="1" spans="1:14">
      <c r="A482" s="207">
        <v>303001</v>
      </c>
      <c r="B482" s="204" t="s">
        <v>704</v>
      </c>
      <c r="C482" s="205">
        <v>9604.894678</v>
      </c>
      <c r="D482" s="205">
        <f t="shared" si="10"/>
        <v>9604.894678</v>
      </c>
      <c r="E482" s="205">
        <v>9604.894678</v>
      </c>
      <c r="F482" s="205"/>
      <c r="G482" s="205"/>
      <c r="H482" s="205"/>
      <c r="I482" s="205"/>
      <c r="J482" s="205"/>
      <c r="K482" s="205"/>
      <c r="L482" s="205"/>
      <c r="M482" s="205"/>
      <c r="N482" s="213" t="s">
        <v>578</v>
      </c>
    </row>
    <row r="483" ht="18" customHeight="1" spans="1:14">
      <c r="A483" s="207"/>
      <c r="B483" s="210" t="s">
        <v>1548</v>
      </c>
      <c r="C483" s="211">
        <v>1295.284678</v>
      </c>
      <c r="D483" s="211">
        <f t="shared" si="10"/>
        <v>1295.284678</v>
      </c>
      <c r="E483" s="211">
        <v>1295.284678</v>
      </c>
      <c r="F483" s="211"/>
      <c r="G483" s="211"/>
      <c r="H483" s="211"/>
      <c r="I483" s="211"/>
      <c r="J483" s="211"/>
      <c r="K483" s="211"/>
      <c r="L483" s="211"/>
      <c r="M483" s="211"/>
      <c r="N483" s="213" t="s">
        <v>578</v>
      </c>
    </row>
    <row r="484" ht="18" customHeight="1" spans="1:14">
      <c r="A484" s="207"/>
      <c r="B484" s="210" t="s">
        <v>1549</v>
      </c>
      <c r="C484" s="211">
        <v>4671.36</v>
      </c>
      <c r="D484" s="211">
        <f t="shared" si="10"/>
        <v>4671.36</v>
      </c>
      <c r="E484" s="211">
        <v>4671.36</v>
      </c>
      <c r="F484" s="211"/>
      <c r="G484" s="211"/>
      <c r="H484" s="211"/>
      <c r="I484" s="211"/>
      <c r="J484" s="211"/>
      <c r="K484" s="211"/>
      <c r="L484" s="211"/>
      <c r="M484" s="211"/>
      <c r="N484" s="213" t="s">
        <v>578</v>
      </c>
    </row>
    <row r="485" ht="18" customHeight="1" spans="1:14">
      <c r="A485" s="207"/>
      <c r="B485" s="210" t="s">
        <v>1550</v>
      </c>
      <c r="C485" s="211">
        <v>80</v>
      </c>
      <c r="D485" s="211">
        <f t="shared" si="10"/>
        <v>80</v>
      </c>
      <c r="E485" s="211">
        <v>80</v>
      </c>
      <c r="F485" s="211"/>
      <c r="G485" s="211"/>
      <c r="H485" s="211"/>
      <c r="I485" s="211"/>
      <c r="J485" s="211"/>
      <c r="K485" s="211"/>
      <c r="L485" s="211"/>
      <c r="M485" s="211"/>
      <c r="N485" s="213" t="s">
        <v>578</v>
      </c>
    </row>
    <row r="486" ht="18" customHeight="1" spans="1:14">
      <c r="A486" s="207"/>
      <c r="B486" s="210" t="s">
        <v>1551</v>
      </c>
      <c r="C486" s="211">
        <v>2716.25</v>
      </c>
      <c r="D486" s="211">
        <f t="shared" si="10"/>
        <v>2716.25</v>
      </c>
      <c r="E486" s="211">
        <v>2716.25</v>
      </c>
      <c r="F486" s="211"/>
      <c r="G486" s="211"/>
      <c r="H486" s="211"/>
      <c r="I486" s="211"/>
      <c r="J486" s="211"/>
      <c r="K486" s="211"/>
      <c r="L486" s="211"/>
      <c r="M486" s="211"/>
      <c r="N486" s="213" t="s">
        <v>578</v>
      </c>
    </row>
    <row r="487" ht="18" customHeight="1" spans="1:14">
      <c r="A487" s="207"/>
      <c r="B487" s="210" t="s">
        <v>1552</v>
      </c>
      <c r="C487" s="211">
        <v>42</v>
      </c>
      <c r="D487" s="211">
        <f t="shared" si="10"/>
        <v>42</v>
      </c>
      <c r="E487" s="211">
        <v>42</v>
      </c>
      <c r="F487" s="211"/>
      <c r="G487" s="211"/>
      <c r="H487" s="211"/>
      <c r="I487" s="211"/>
      <c r="J487" s="211"/>
      <c r="K487" s="211"/>
      <c r="L487" s="211"/>
      <c r="M487" s="211"/>
      <c r="N487" s="213" t="s">
        <v>578</v>
      </c>
    </row>
    <row r="488" ht="18" customHeight="1" spans="1:14">
      <c r="A488" s="207"/>
      <c r="B488" s="210" t="s">
        <v>1553</v>
      </c>
      <c r="C488" s="211">
        <v>800</v>
      </c>
      <c r="D488" s="211">
        <f t="shared" si="10"/>
        <v>800</v>
      </c>
      <c r="E488" s="211">
        <v>800</v>
      </c>
      <c r="F488" s="211"/>
      <c r="G488" s="211"/>
      <c r="H488" s="211"/>
      <c r="I488" s="211"/>
      <c r="J488" s="211"/>
      <c r="K488" s="211"/>
      <c r="L488" s="211"/>
      <c r="M488" s="211"/>
      <c r="N488" s="213" t="s">
        <v>578</v>
      </c>
    </row>
    <row r="489" ht="18" customHeight="1" spans="1:14">
      <c r="A489" s="207">
        <v>303002</v>
      </c>
      <c r="B489" s="204" t="s">
        <v>705</v>
      </c>
      <c r="C489" s="205">
        <v>1020.278411</v>
      </c>
      <c r="D489" s="205">
        <f t="shared" si="10"/>
        <v>1020.278411</v>
      </c>
      <c r="E489" s="205">
        <v>1020.278411</v>
      </c>
      <c r="F489" s="205"/>
      <c r="G489" s="205"/>
      <c r="H489" s="205"/>
      <c r="I489" s="205"/>
      <c r="J489" s="205"/>
      <c r="K489" s="205"/>
      <c r="L489" s="205"/>
      <c r="M489" s="205"/>
      <c r="N489" s="213" t="s">
        <v>578</v>
      </c>
    </row>
    <row r="490" ht="18" customHeight="1" spans="1:14">
      <c r="A490" s="207"/>
      <c r="B490" s="210" t="s">
        <v>1554</v>
      </c>
      <c r="C490" s="211">
        <v>213.241111</v>
      </c>
      <c r="D490" s="211">
        <f t="shared" si="10"/>
        <v>213.241111</v>
      </c>
      <c r="E490" s="211">
        <v>213.241111</v>
      </c>
      <c r="F490" s="211"/>
      <c r="G490" s="211"/>
      <c r="H490" s="211"/>
      <c r="I490" s="211"/>
      <c r="J490" s="211"/>
      <c r="K490" s="211"/>
      <c r="L490" s="211"/>
      <c r="M490" s="211"/>
      <c r="N490" s="213" t="s">
        <v>578</v>
      </c>
    </row>
    <row r="491" ht="18" customHeight="1" spans="1:14">
      <c r="A491" s="207"/>
      <c r="B491" s="210" t="s">
        <v>1555</v>
      </c>
      <c r="C491" s="211">
        <v>193.08</v>
      </c>
      <c r="D491" s="211">
        <f t="shared" si="10"/>
        <v>193.08</v>
      </c>
      <c r="E491" s="211">
        <v>193.08</v>
      </c>
      <c r="F491" s="211"/>
      <c r="G491" s="211"/>
      <c r="H491" s="211"/>
      <c r="I491" s="211"/>
      <c r="J491" s="211"/>
      <c r="K491" s="211"/>
      <c r="L491" s="211"/>
      <c r="M491" s="211"/>
      <c r="N491" s="213" t="s">
        <v>578</v>
      </c>
    </row>
    <row r="492" ht="18" customHeight="1" spans="1:14">
      <c r="A492" s="207"/>
      <c r="B492" s="210" t="s">
        <v>1556</v>
      </c>
      <c r="C492" s="211">
        <v>1</v>
      </c>
      <c r="D492" s="211">
        <f t="shared" si="10"/>
        <v>1</v>
      </c>
      <c r="E492" s="211">
        <v>1</v>
      </c>
      <c r="F492" s="211"/>
      <c r="G492" s="211"/>
      <c r="H492" s="211"/>
      <c r="I492" s="211"/>
      <c r="J492" s="211"/>
      <c r="K492" s="211"/>
      <c r="L492" s="211"/>
      <c r="M492" s="211"/>
      <c r="N492" s="213" t="s">
        <v>578</v>
      </c>
    </row>
    <row r="493" ht="18" customHeight="1" spans="1:14">
      <c r="A493" s="207"/>
      <c r="B493" s="210" t="s">
        <v>1557</v>
      </c>
      <c r="C493" s="211">
        <v>98.12</v>
      </c>
      <c r="D493" s="211">
        <f t="shared" si="10"/>
        <v>98.12</v>
      </c>
      <c r="E493" s="211">
        <v>98.12</v>
      </c>
      <c r="F493" s="211"/>
      <c r="G493" s="211"/>
      <c r="H493" s="211"/>
      <c r="I493" s="211"/>
      <c r="J493" s="211"/>
      <c r="K493" s="211"/>
      <c r="L493" s="211"/>
      <c r="M493" s="211"/>
      <c r="N493" s="213" t="s">
        <v>578</v>
      </c>
    </row>
    <row r="494" ht="18" customHeight="1" spans="1:14">
      <c r="A494" s="207"/>
      <c r="B494" s="210" t="s">
        <v>1558</v>
      </c>
      <c r="C494" s="211">
        <v>15.68</v>
      </c>
      <c r="D494" s="211">
        <f t="shared" si="10"/>
        <v>15.68</v>
      </c>
      <c r="E494" s="211">
        <v>15.68</v>
      </c>
      <c r="F494" s="211"/>
      <c r="G494" s="211"/>
      <c r="H494" s="211"/>
      <c r="I494" s="211"/>
      <c r="J494" s="211"/>
      <c r="K494" s="211"/>
      <c r="L494" s="211"/>
      <c r="M494" s="211"/>
      <c r="N494" s="213" t="s">
        <v>578</v>
      </c>
    </row>
    <row r="495" ht="18" customHeight="1" spans="1:14">
      <c r="A495" s="207"/>
      <c r="B495" s="210" t="s">
        <v>1559</v>
      </c>
      <c r="C495" s="211">
        <v>311.1573</v>
      </c>
      <c r="D495" s="211">
        <f t="shared" si="10"/>
        <v>311.1573</v>
      </c>
      <c r="E495" s="211">
        <v>311.1573</v>
      </c>
      <c r="F495" s="211"/>
      <c r="G495" s="211"/>
      <c r="H495" s="211"/>
      <c r="I495" s="211"/>
      <c r="J495" s="211"/>
      <c r="K495" s="211"/>
      <c r="L495" s="211"/>
      <c r="M495" s="211"/>
      <c r="N495" s="213" t="s">
        <v>578</v>
      </c>
    </row>
    <row r="496" ht="18" customHeight="1" spans="1:14">
      <c r="A496" s="207"/>
      <c r="B496" s="210" t="s">
        <v>1560</v>
      </c>
      <c r="C496" s="211">
        <v>188</v>
      </c>
      <c r="D496" s="211">
        <f t="shared" si="10"/>
        <v>188</v>
      </c>
      <c r="E496" s="211">
        <v>188</v>
      </c>
      <c r="F496" s="211"/>
      <c r="G496" s="211"/>
      <c r="H496" s="211"/>
      <c r="I496" s="211"/>
      <c r="J496" s="211"/>
      <c r="K496" s="211"/>
      <c r="L496" s="211"/>
      <c r="M496" s="211"/>
      <c r="N496" s="213" t="s">
        <v>578</v>
      </c>
    </row>
    <row r="497" ht="18" customHeight="1" spans="1:14">
      <c r="A497" s="207">
        <v>303003</v>
      </c>
      <c r="B497" s="204" t="s">
        <v>706</v>
      </c>
      <c r="C497" s="205">
        <v>717.1</v>
      </c>
      <c r="D497" s="205">
        <f t="shared" si="10"/>
        <v>717.1</v>
      </c>
      <c r="E497" s="205">
        <v>717.1</v>
      </c>
      <c r="F497" s="205"/>
      <c r="G497" s="205"/>
      <c r="H497" s="205"/>
      <c r="I497" s="205"/>
      <c r="J497" s="205"/>
      <c r="K497" s="205"/>
      <c r="L497" s="205"/>
      <c r="M497" s="205"/>
      <c r="N497" s="213" t="s">
        <v>578</v>
      </c>
    </row>
    <row r="498" ht="18" customHeight="1" spans="1:14">
      <c r="A498" s="207"/>
      <c r="B498" s="210" t="s">
        <v>1561</v>
      </c>
      <c r="C498" s="211">
        <v>40.1</v>
      </c>
      <c r="D498" s="211">
        <f t="shared" ref="D498:D561" si="11">E498+F498</f>
        <v>40.1</v>
      </c>
      <c r="E498" s="211">
        <v>40.1</v>
      </c>
      <c r="F498" s="211"/>
      <c r="G498" s="211"/>
      <c r="H498" s="211"/>
      <c r="I498" s="211"/>
      <c r="J498" s="211"/>
      <c r="K498" s="211"/>
      <c r="L498" s="211"/>
      <c r="M498" s="211"/>
      <c r="N498" s="213" t="s">
        <v>578</v>
      </c>
    </row>
    <row r="499" ht="18" customHeight="1" spans="1:14">
      <c r="A499" s="207"/>
      <c r="B499" s="210" t="s">
        <v>1562</v>
      </c>
      <c r="C499" s="211">
        <v>109</v>
      </c>
      <c r="D499" s="211">
        <f t="shared" si="11"/>
        <v>109</v>
      </c>
      <c r="E499" s="211">
        <v>109</v>
      </c>
      <c r="F499" s="211"/>
      <c r="G499" s="211"/>
      <c r="H499" s="211"/>
      <c r="I499" s="211"/>
      <c r="J499" s="211"/>
      <c r="K499" s="211"/>
      <c r="L499" s="211"/>
      <c r="M499" s="211"/>
      <c r="N499" s="213" t="s">
        <v>578</v>
      </c>
    </row>
    <row r="500" ht="18" customHeight="1" spans="1:14">
      <c r="A500" s="207"/>
      <c r="B500" s="210" t="s">
        <v>1563</v>
      </c>
      <c r="C500" s="211">
        <v>142</v>
      </c>
      <c r="D500" s="211">
        <f t="shared" si="11"/>
        <v>142</v>
      </c>
      <c r="E500" s="211">
        <v>142</v>
      </c>
      <c r="F500" s="211"/>
      <c r="G500" s="211"/>
      <c r="H500" s="211"/>
      <c r="I500" s="211"/>
      <c r="J500" s="211"/>
      <c r="K500" s="211"/>
      <c r="L500" s="211"/>
      <c r="M500" s="211"/>
      <c r="N500" s="213" t="s">
        <v>578</v>
      </c>
    </row>
    <row r="501" ht="18" customHeight="1" spans="1:14">
      <c r="A501" s="207"/>
      <c r="B501" s="210" t="s">
        <v>1564</v>
      </c>
      <c r="C501" s="211">
        <v>48</v>
      </c>
      <c r="D501" s="211">
        <f t="shared" si="11"/>
        <v>48</v>
      </c>
      <c r="E501" s="211">
        <v>48</v>
      </c>
      <c r="F501" s="211"/>
      <c r="G501" s="211"/>
      <c r="H501" s="211"/>
      <c r="I501" s="211"/>
      <c r="J501" s="211"/>
      <c r="K501" s="211"/>
      <c r="L501" s="211"/>
      <c r="M501" s="211"/>
      <c r="N501" s="213" t="s">
        <v>578</v>
      </c>
    </row>
    <row r="502" ht="18" customHeight="1" spans="1:14">
      <c r="A502" s="207"/>
      <c r="B502" s="210" t="s">
        <v>1565</v>
      </c>
      <c r="C502" s="211">
        <v>350</v>
      </c>
      <c r="D502" s="211">
        <f t="shared" si="11"/>
        <v>350</v>
      </c>
      <c r="E502" s="211">
        <v>350</v>
      </c>
      <c r="F502" s="211"/>
      <c r="G502" s="211"/>
      <c r="H502" s="211"/>
      <c r="I502" s="211"/>
      <c r="J502" s="211"/>
      <c r="K502" s="211"/>
      <c r="L502" s="211"/>
      <c r="M502" s="211"/>
      <c r="N502" s="213" t="s">
        <v>578</v>
      </c>
    </row>
    <row r="503" ht="18" customHeight="1" spans="1:14">
      <c r="A503" s="207"/>
      <c r="B503" s="210" t="s">
        <v>1566</v>
      </c>
      <c r="C503" s="211">
        <v>12</v>
      </c>
      <c r="D503" s="211">
        <f t="shared" si="11"/>
        <v>12</v>
      </c>
      <c r="E503" s="211">
        <v>12</v>
      </c>
      <c r="F503" s="211"/>
      <c r="G503" s="211"/>
      <c r="H503" s="211"/>
      <c r="I503" s="211"/>
      <c r="J503" s="211"/>
      <c r="K503" s="211"/>
      <c r="L503" s="211"/>
      <c r="M503" s="211"/>
      <c r="N503" s="213" t="s">
        <v>578</v>
      </c>
    </row>
    <row r="504" ht="18" customHeight="1" spans="1:14">
      <c r="A504" s="207"/>
      <c r="B504" s="210" t="s">
        <v>1567</v>
      </c>
      <c r="C504" s="211">
        <v>16</v>
      </c>
      <c r="D504" s="211">
        <f t="shared" si="11"/>
        <v>16</v>
      </c>
      <c r="E504" s="211">
        <v>16</v>
      </c>
      <c r="F504" s="211"/>
      <c r="G504" s="211"/>
      <c r="H504" s="211"/>
      <c r="I504" s="211"/>
      <c r="J504" s="211"/>
      <c r="K504" s="211"/>
      <c r="L504" s="211"/>
      <c r="M504" s="211"/>
      <c r="N504" s="213" t="s">
        <v>578</v>
      </c>
    </row>
    <row r="505" ht="18" customHeight="1" spans="1:14">
      <c r="A505" s="207">
        <v>303004</v>
      </c>
      <c r="B505" s="204" t="s">
        <v>707</v>
      </c>
      <c r="C505" s="205">
        <v>20</v>
      </c>
      <c r="D505" s="205">
        <f t="shared" si="11"/>
        <v>20</v>
      </c>
      <c r="E505" s="205">
        <v>20</v>
      </c>
      <c r="F505" s="205"/>
      <c r="G505" s="205"/>
      <c r="H505" s="205"/>
      <c r="I505" s="205"/>
      <c r="J505" s="205"/>
      <c r="K505" s="205"/>
      <c r="L505" s="205"/>
      <c r="M505" s="205"/>
      <c r="N505" s="213" t="s">
        <v>578</v>
      </c>
    </row>
    <row r="506" ht="18" customHeight="1" spans="1:14">
      <c r="A506" s="207"/>
      <c r="B506" s="210" t="s">
        <v>1568</v>
      </c>
      <c r="C506" s="211">
        <v>20</v>
      </c>
      <c r="D506" s="211">
        <f t="shared" si="11"/>
        <v>20</v>
      </c>
      <c r="E506" s="211">
        <v>20</v>
      </c>
      <c r="F506" s="211"/>
      <c r="G506" s="211"/>
      <c r="H506" s="211"/>
      <c r="I506" s="211"/>
      <c r="J506" s="211"/>
      <c r="K506" s="211"/>
      <c r="L506" s="211"/>
      <c r="M506" s="211"/>
      <c r="N506" s="213" t="s">
        <v>578</v>
      </c>
    </row>
    <row r="507" ht="18" customHeight="1" spans="1:14">
      <c r="A507" s="207">
        <v>303005</v>
      </c>
      <c r="B507" s="204" t="s">
        <v>708</v>
      </c>
      <c r="C507" s="205">
        <v>241.5</v>
      </c>
      <c r="D507" s="205">
        <f t="shared" si="11"/>
        <v>241.5</v>
      </c>
      <c r="E507" s="205">
        <v>241.5</v>
      </c>
      <c r="F507" s="205"/>
      <c r="G507" s="205"/>
      <c r="H507" s="205"/>
      <c r="I507" s="205"/>
      <c r="J507" s="205"/>
      <c r="K507" s="205"/>
      <c r="L507" s="205"/>
      <c r="M507" s="205"/>
      <c r="N507" s="213" t="s">
        <v>578</v>
      </c>
    </row>
    <row r="508" ht="18" customHeight="1" spans="1:14">
      <c r="A508" s="207"/>
      <c r="B508" s="210" t="s">
        <v>1569</v>
      </c>
      <c r="C508" s="211">
        <v>8</v>
      </c>
      <c r="D508" s="211">
        <f t="shared" si="11"/>
        <v>8</v>
      </c>
      <c r="E508" s="211">
        <v>8</v>
      </c>
      <c r="F508" s="211"/>
      <c r="G508" s="211"/>
      <c r="H508" s="211"/>
      <c r="I508" s="211"/>
      <c r="J508" s="211"/>
      <c r="K508" s="211"/>
      <c r="L508" s="211"/>
      <c r="M508" s="211"/>
      <c r="N508" s="213" t="s">
        <v>578</v>
      </c>
    </row>
    <row r="509" ht="18" customHeight="1" spans="1:14">
      <c r="A509" s="207"/>
      <c r="B509" s="210" t="s">
        <v>1570</v>
      </c>
      <c r="C509" s="211">
        <v>6</v>
      </c>
      <c r="D509" s="211">
        <f t="shared" si="11"/>
        <v>6</v>
      </c>
      <c r="E509" s="211">
        <v>6</v>
      </c>
      <c r="F509" s="211"/>
      <c r="G509" s="211"/>
      <c r="H509" s="211"/>
      <c r="I509" s="211"/>
      <c r="J509" s="211"/>
      <c r="K509" s="211"/>
      <c r="L509" s="211"/>
      <c r="M509" s="211"/>
      <c r="N509" s="213" t="s">
        <v>578</v>
      </c>
    </row>
    <row r="510" ht="18" customHeight="1" spans="1:14">
      <c r="A510" s="207"/>
      <c r="B510" s="210" t="s">
        <v>1571</v>
      </c>
      <c r="C510" s="211">
        <v>227.5</v>
      </c>
      <c r="D510" s="211">
        <f t="shared" si="11"/>
        <v>227.5</v>
      </c>
      <c r="E510" s="211">
        <v>227.5</v>
      </c>
      <c r="F510" s="211"/>
      <c r="G510" s="211"/>
      <c r="H510" s="211"/>
      <c r="I510" s="211"/>
      <c r="J510" s="211"/>
      <c r="K510" s="211"/>
      <c r="L510" s="211"/>
      <c r="M510" s="211"/>
      <c r="N510" s="213" t="s">
        <v>578</v>
      </c>
    </row>
    <row r="511" ht="18" customHeight="1" spans="1:14">
      <c r="A511" s="207">
        <v>303006</v>
      </c>
      <c r="B511" s="204" t="s">
        <v>709</v>
      </c>
      <c r="C511" s="205">
        <v>762.83</v>
      </c>
      <c r="D511" s="205">
        <f t="shared" si="11"/>
        <v>762.83</v>
      </c>
      <c r="E511" s="205">
        <v>762.83</v>
      </c>
      <c r="F511" s="205"/>
      <c r="G511" s="205"/>
      <c r="H511" s="205"/>
      <c r="I511" s="205"/>
      <c r="J511" s="205"/>
      <c r="K511" s="205"/>
      <c r="L511" s="205"/>
      <c r="M511" s="205"/>
      <c r="N511" s="213" t="s">
        <v>578</v>
      </c>
    </row>
    <row r="512" ht="18" customHeight="1" spans="1:14">
      <c r="A512" s="207"/>
      <c r="B512" s="210" t="s">
        <v>1572</v>
      </c>
      <c r="C512" s="211">
        <v>219.67</v>
      </c>
      <c r="D512" s="211">
        <f t="shared" si="11"/>
        <v>219.67</v>
      </c>
      <c r="E512" s="211">
        <v>219.67</v>
      </c>
      <c r="F512" s="211"/>
      <c r="G512" s="211"/>
      <c r="H512" s="211"/>
      <c r="I512" s="211"/>
      <c r="J512" s="211"/>
      <c r="K512" s="211"/>
      <c r="L512" s="211"/>
      <c r="M512" s="211"/>
      <c r="N512" s="213" t="s">
        <v>578</v>
      </c>
    </row>
    <row r="513" ht="18" customHeight="1" spans="1:14">
      <c r="A513" s="207"/>
      <c r="B513" s="210" t="s">
        <v>1573</v>
      </c>
      <c r="C513" s="211">
        <v>28.8</v>
      </c>
      <c r="D513" s="211">
        <f t="shared" si="11"/>
        <v>28.8</v>
      </c>
      <c r="E513" s="211">
        <v>28.8</v>
      </c>
      <c r="F513" s="211"/>
      <c r="G513" s="211"/>
      <c r="H513" s="211"/>
      <c r="I513" s="211"/>
      <c r="J513" s="211"/>
      <c r="K513" s="211"/>
      <c r="L513" s="211"/>
      <c r="M513" s="211"/>
      <c r="N513" s="213" t="s">
        <v>578</v>
      </c>
    </row>
    <row r="514" ht="18" customHeight="1" spans="1:14">
      <c r="A514" s="207"/>
      <c r="B514" s="210" t="s">
        <v>1574</v>
      </c>
      <c r="C514" s="211">
        <v>40.1</v>
      </c>
      <c r="D514" s="211">
        <f t="shared" si="11"/>
        <v>40.1</v>
      </c>
      <c r="E514" s="211">
        <v>40.1</v>
      </c>
      <c r="F514" s="211"/>
      <c r="G514" s="211"/>
      <c r="H514" s="211"/>
      <c r="I514" s="211"/>
      <c r="J514" s="211"/>
      <c r="K514" s="211"/>
      <c r="L514" s="211"/>
      <c r="M514" s="211"/>
      <c r="N514" s="213" t="s">
        <v>578</v>
      </c>
    </row>
    <row r="515" ht="18" customHeight="1" spans="1:14">
      <c r="A515" s="207"/>
      <c r="B515" s="210" t="s">
        <v>1575</v>
      </c>
      <c r="C515" s="211">
        <v>30.62</v>
      </c>
      <c r="D515" s="211">
        <f t="shared" si="11"/>
        <v>30.62</v>
      </c>
      <c r="E515" s="211">
        <v>30.62</v>
      </c>
      <c r="F515" s="211"/>
      <c r="G515" s="211"/>
      <c r="H515" s="211"/>
      <c r="I515" s="211"/>
      <c r="J515" s="211"/>
      <c r="K515" s="211"/>
      <c r="L515" s="211"/>
      <c r="M515" s="211"/>
      <c r="N515" s="213" t="s">
        <v>578</v>
      </c>
    </row>
    <row r="516" ht="18" customHeight="1" spans="1:14">
      <c r="A516" s="207"/>
      <c r="B516" s="210" t="s">
        <v>1576</v>
      </c>
      <c r="C516" s="211">
        <v>41</v>
      </c>
      <c r="D516" s="211">
        <f t="shared" si="11"/>
        <v>41</v>
      </c>
      <c r="E516" s="211">
        <v>41</v>
      </c>
      <c r="F516" s="211"/>
      <c r="G516" s="211"/>
      <c r="H516" s="211"/>
      <c r="I516" s="211"/>
      <c r="J516" s="211"/>
      <c r="K516" s="211"/>
      <c r="L516" s="211"/>
      <c r="M516" s="211"/>
      <c r="N516" s="213" t="s">
        <v>578</v>
      </c>
    </row>
    <row r="517" ht="18" customHeight="1" spans="1:14">
      <c r="A517" s="207"/>
      <c r="B517" s="210" t="s">
        <v>1577</v>
      </c>
      <c r="C517" s="211">
        <v>75.25</v>
      </c>
      <c r="D517" s="211">
        <f t="shared" si="11"/>
        <v>75.25</v>
      </c>
      <c r="E517" s="211">
        <v>75.25</v>
      </c>
      <c r="F517" s="211"/>
      <c r="G517" s="211"/>
      <c r="H517" s="211"/>
      <c r="I517" s="211"/>
      <c r="J517" s="211"/>
      <c r="K517" s="211"/>
      <c r="L517" s="211"/>
      <c r="M517" s="211"/>
      <c r="N517" s="213" t="s">
        <v>578</v>
      </c>
    </row>
    <row r="518" ht="18" customHeight="1" spans="1:14">
      <c r="A518" s="207"/>
      <c r="B518" s="210" t="s">
        <v>1578</v>
      </c>
      <c r="C518" s="211">
        <v>60</v>
      </c>
      <c r="D518" s="211">
        <f t="shared" si="11"/>
        <v>60</v>
      </c>
      <c r="E518" s="211">
        <v>60</v>
      </c>
      <c r="F518" s="211"/>
      <c r="G518" s="211"/>
      <c r="H518" s="211"/>
      <c r="I518" s="211"/>
      <c r="J518" s="211"/>
      <c r="K518" s="211"/>
      <c r="L518" s="211"/>
      <c r="M518" s="211"/>
      <c r="N518" s="213" t="s">
        <v>578</v>
      </c>
    </row>
    <row r="519" ht="18" customHeight="1" spans="1:14">
      <c r="A519" s="207"/>
      <c r="B519" s="210" t="s">
        <v>1579</v>
      </c>
      <c r="C519" s="211">
        <v>41</v>
      </c>
      <c r="D519" s="211">
        <f t="shared" si="11"/>
        <v>41</v>
      </c>
      <c r="E519" s="211">
        <v>41</v>
      </c>
      <c r="F519" s="211"/>
      <c r="G519" s="211"/>
      <c r="H519" s="211"/>
      <c r="I519" s="211"/>
      <c r="J519" s="211"/>
      <c r="K519" s="211"/>
      <c r="L519" s="211"/>
      <c r="M519" s="211"/>
      <c r="N519" s="213" t="s">
        <v>578</v>
      </c>
    </row>
    <row r="520" ht="18" customHeight="1" spans="1:14">
      <c r="A520" s="207"/>
      <c r="B520" s="210" t="s">
        <v>1580</v>
      </c>
      <c r="C520" s="211">
        <v>107.12</v>
      </c>
      <c r="D520" s="211">
        <f t="shared" si="11"/>
        <v>107.12</v>
      </c>
      <c r="E520" s="211">
        <v>107.12</v>
      </c>
      <c r="F520" s="211"/>
      <c r="G520" s="211"/>
      <c r="H520" s="211"/>
      <c r="I520" s="211"/>
      <c r="J520" s="211"/>
      <c r="K520" s="211"/>
      <c r="L520" s="211"/>
      <c r="M520" s="211"/>
      <c r="N520" s="213" t="s">
        <v>578</v>
      </c>
    </row>
    <row r="521" ht="18" customHeight="1" spans="1:14">
      <c r="A521" s="207"/>
      <c r="B521" s="210" t="s">
        <v>1581</v>
      </c>
      <c r="C521" s="211">
        <v>70</v>
      </c>
      <c r="D521" s="211">
        <f t="shared" si="11"/>
        <v>70</v>
      </c>
      <c r="E521" s="211">
        <v>70</v>
      </c>
      <c r="F521" s="211"/>
      <c r="G521" s="211"/>
      <c r="H521" s="211"/>
      <c r="I521" s="211"/>
      <c r="J521" s="211"/>
      <c r="K521" s="211"/>
      <c r="L521" s="211"/>
      <c r="M521" s="211"/>
      <c r="N521" s="213" t="s">
        <v>578</v>
      </c>
    </row>
    <row r="522" ht="18" customHeight="1" spans="1:14">
      <c r="A522" s="207"/>
      <c r="B522" s="210" t="s">
        <v>1557</v>
      </c>
      <c r="C522" s="211">
        <v>49.27</v>
      </c>
      <c r="D522" s="211">
        <f t="shared" si="11"/>
        <v>49.27</v>
      </c>
      <c r="E522" s="211">
        <v>49.27</v>
      </c>
      <c r="F522" s="211"/>
      <c r="G522" s="211"/>
      <c r="H522" s="211"/>
      <c r="I522" s="211"/>
      <c r="J522" s="211"/>
      <c r="K522" s="211"/>
      <c r="L522" s="211"/>
      <c r="M522" s="211"/>
      <c r="N522" s="213" t="s">
        <v>578</v>
      </c>
    </row>
    <row r="523" ht="18" customHeight="1" spans="1:14">
      <c r="A523" s="207">
        <v>304001</v>
      </c>
      <c r="B523" s="204" t="s">
        <v>710</v>
      </c>
      <c r="C523" s="205">
        <v>158.57</v>
      </c>
      <c r="D523" s="205">
        <f t="shared" si="11"/>
        <v>158.57</v>
      </c>
      <c r="E523" s="205">
        <v>158.57</v>
      </c>
      <c r="F523" s="205"/>
      <c r="G523" s="205"/>
      <c r="H523" s="205"/>
      <c r="I523" s="205"/>
      <c r="J523" s="205"/>
      <c r="K523" s="205"/>
      <c r="L523" s="205"/>
      <c r="M523" s="205"/>
      <c r="N523" s="213" t="s">
        <v>578</v>
      </c>
    </row>
    <row r="524" ht="18" customHeight="1" spans="1:14">
      <c r="A524" s="207"/>
      <c r="B524" s="210" t="s">
        <v>1582</v>
      </c>
      <c r="C524" s="211">
        <v>6.57</v>
      </c>
      <c r="D524" s="211">
        <f t="shared" si="11"/>
        <v>6.57</v>
      </c>
      <c r="E524" s="211">
        <v>6.57</v>
      </c>
      <c r="F524" s="211"/>
      <c r="G524" s="211"/>
      <c r="H524" s="211"/>
      <c r="I524" s="211"/>
      <c r="J524" s="211"/>
      <c r="K524" s="211"/>
      <c r="L524" s="211"/>
      <c r="M524" s="211"/>
      <c r="N524" s="213" t="s">
        <v>578</v>
      </c>
    </row>
    <row r="525" ht="18" customHeight="1" spans="1:14">
      <c r="A525" s="207"/>
      <c r="B525" s="210" t="s">
        <v>1583</v>
      </c>
      <c r="C525" s="211">
        <v>20</v>
      </c>
      <c r="D525" s="211">
        <f t="shared" si="11"/>
        <v>20</v>
      </c>
      <c r="E525" s="211">
        <v>20</v>
      </c>
      <c r="F525" s="211"/>
      <c r="G525" s="211"/>
      <c r="H525" s="211"/>
      <c r="I525" s="211"/>
      <c r="J525" s="211"/>
      <c r="K525" s="211"/>
      <c r="L525" s="211"/>
      <c r="M525" s="211"/>
      <c r="N525" s="213" t="s">
        <v>578</v>
      </c>
    </row>
    <row r="526" ht="18" customHeight="1" spans="1:14">
      <c r="A526" s="207"/>
      <c r="B526" s="210" t="s">
        <v>1584</v>
      </c>
      <c r="C526" s="211">
        <v>12</v>
      </c>
      <c r="D526" s="211">
        <f t="shared" si="11"/>
        <v>12</v>
      </c>
      <c r="E526" s="211">
        <v>12</v>
      </c>
      <c r="F526" s="211"/>
      <c r="G526" s="211"/>
      <c r="H526" s="211"/>
      <c r="I526" s="211"/>
      <c r="J526" s="211"/>
      <c r="K526" s="211"/>
      <c r="L526" s="211"/>
      <c r="M526" s="211"/>
      <c r="N526" s="213" t="s">
        <v>578</v>
      </c>
    </row>
    <row r="527" ht="18" customHeight="1" spans="1:14">
      <c r="A527" s="207"/>
      <c r="B527" s="210" t="s">
        <v>1585</v>
      </c>
      <c r="C527" s="211">
        <v>60</v>
      </c>
      <c r="D527" s="211">
        <f t="shared" si="11"/>
        <v>60</v>
      </c>
      <c r="E527" s="211">
        <v>60</v>
      </c>
      <c r="F527" s="211"/>
      <c r="G527" s="211"/>
      <c r="H527" s="211"/>
      <c r="I527" s="211"/>
      <c r="J527" s="211"/>
      <c r="K527" s="211"/>
      <c r="L527" s="211"/>
      <c r="M527" s="211"/>
      <c r="N527" s="213" t="s">
        <v>578</v>
      </c>
    </row>
    <row r="528" ht="18" customHeight="1" spans="1:14">
      <c r="A528" s="207"/>
      <c r="B528" s="210" t="s">
        <v>1586</v>
      </c>
      <c r="C528" s="211">
        <v>60</v>
      </c>
      <c r="D528" s="211">
        <f t="shared" si="11"/>
        <v>60</v>
      </c>
      <c r="E528" s="211">
        <v>60</v>
      </c>
      <c r="F528" s="211"/>
      <c r="G528" s="211"/>
      <c r="H528" s="211"/>
      <c r="I528" s="211"/>
      <c r="J528" s="211"/>
      <c r="K528" s="211"/>
      <c r="L528" s="211"/>
      <c r="M528" s="211"/>
      <c r="N528" s="213" t="s">
        <v>578</v>
      </c>
    </row>
    <row r="529" ht="18" customHeight="1" spans="1:14">
      <c r="A529" s="207">
        <v>304002</v>
      </c>
      <c r="B529" s="204" t="s">
        <v>711</v>
      </c>
      <c r="C529" s="205">
        <v>509.5</v>
      </c>
      <c r="D529" s="205">
        <f t="shared" si="11"/>
        <v>509.5</v>
      </c>
      <c r="E529" s="205">
        <v>327.5</v>
      </c>
      <c r="F529" s="205">
        <v>182</v>
      </c>
      <c r="G529" s="205"/>
      <c r="H529" s="205"/>
      <c r="I529" s="205"/>
      <c r="J529" s="205"/>
      <c r="K529" s="205"/>
      <c r="L529" s="205"/>
      <c r="M529" s="205"/>
      <c r="N529" s="213" t="s">
        <v>578</v>
      </c>
    </row>
    <row r="530" ht="18" customHeight="1" spans="1:14">
      <c r="A530" s="207"/>
      <c r="B530" s="210" t="s">
        <v>1587</v>
      </c>
      <c r="C530" s="211">
        <v>87.5</v>
      </c>
      <c r="D530" s="211">
        <f t="shared" si="11"/>
        <v>87.5</v>
      </c>
      <c r="E530" s="211">
        <v>87.5</v>
      </c>
      <c r="F530" s="211"/>
      <c r="G530" s="211"/>
      <c r="H530" s="211"/>
      <c r="I530" s="211"/>
      <c r="J530" s="211"/>
      <c r="K530" s="211"/>
      <c r="L530" s="211"/>
      <c r="M530" s="211"/>
      <c r="N530" s="213" t="s">
        <v>578</v>
      </c>
    </row>
    <row r="531" ht="18" customHeight="1" spans="1:14">
      <c r="A531" s="207"/>
      <c r="B531" s="210" t="s">
        <v>1588</v>
      </c>
      <c r="C531" s="211">
        <v>25</v>
      </c>
      <c r="D531" s="211">
        <f t="shared" si="11"/>
        <v>25</v>
      </c>
      <c r="E531" s="211">
        <v>25</v>
      </c>
      <c r="F531" s="211"/>
      <c r="G531" s="211"/>
      <c r="H531" s="211"/>
      <c r="I531" s="211"/>
      <c r="J531" s="211"/>
      <c r="K531" s="211"/>
      <c r="L531" s="211"/>
      <c r="M531" s="211"/>
      <c r="N531" s="213" t="s">
        <v>578</v>
      </c>
    </row>
    <row r="532" ht="18" customHeight="1" spans="1:14">
      <c r="A532" s="207"/>
      <c r="B532" s="210" t="s">
        <v>1589</v>
      </c>
      <c r="C532" s="211">
        <v>100</v>
      </c>
      <c r="D532" s="211">
        <f t="shared" si="11"/>
        <v>100</v>
      </c>
      <c r="E532" s="211"/>
      <c r="F532" s="211">
        <v>100</v>
      </c>
      <c r="G532" s="211"/>
      <c r="H532" s="211"/>
      <c r="I532" s="211"/>
      <c r="J532" s="211"/>
      <c r="K532" s="211"/>
      <c r="L532" s="211"/>
      <c r="M532" s="211"/>
      <c r="N532" s="213" t="s">
        <v>578</v>
      </c>
    </row>
    <row r="533" ht="18" customHeight="1" spans="1:14">
      <c r="A533" s="207"/>
      <c r="B533" s="210" t="s">
        <v>1590</v>
      </c>
      <c r="C533" s="211">
        <v>82</v>
      </c>
      <c r="D533" s="211">
        <f t="shared" si="11"/>
        <v>82</v>
      </c>
      <c r="E533" s="211"/>
      <c r="F533" s="211">
        <v>82</v>
      </c>
      <c r="G533" s="211"/>
      <c r="H533" s="211"/>
      <c r="I533" s="211"/>
      <c r="J533" s="211"/>
      <c r="K533" s="211"/>
      <c r="L533" s="211"/>
      <c r="M533" s="211"/>
      <c r="N533" s="213" t="s">
        <v>578</v>
      </c>
    </row>
    <row r="534" ht="18" customHeight="1" spans="1:14">
      <c r="A534" s="207"/>
      <c r="B534" s="210" t="s">
        <v>1591</v>
      </c>
      <c r="C534" s="211">
        <v>135</v>
      </c>
      <c r="D534" s="211">
        <f t="shared" si="11"/>
        <v>135</v>
      </c>
      <c r="E534" s="211">
        <v>135</v>
      </c>
      <c r="F534" s="211"/>
      <c r="G534" s="211"/>
      <c r="H534" s="211"/>
      <c r="I534" s="211"/>
      <c r="J534" s="211"/>
      <c r="K534" s="211"/>
      <c r="L534" s="211"/>
      <c r="M534" s="211"/>
      <c r="N534" s="213" t="s">
        <v>578</v>
      </c>
    </row>
    <row r="535" ht="18" customHeight="1" spans="1:14">
      <c r="A535" s="207"/>
      <c r="B535" s="210" t="s">
        <v>1592</v>
      </c>
      <c r="C535" s="211">
        <v>80</v>
      </c>
      <c r="D535" s="211">
        <f t="shared" si="11"/>
        <v>80</v>
      </c>
      <c r="E535" s="211">
        <v>80</v>
      </c>
      <c r="F535" s="211"/>
      <c r="G535" s="211"/>
      <c r="H535" s="211"/>
      <c r="I535" s="211"/>
      <c r="J535" s="211"/>
      <c r="K535" s="211"/>
      <c r="L535" s="211"/>
      <c r="M535" s="211"/>
      <c r="N535" s="213" t="s">
        <v>578</v>
      </c>
    </row>
    <row r="536" ht="18" customHeight="1" spans="1:14">
      <c r="A536" s="207">
        <v>304003</v>
      </c>
      <c r="B536" s="204" t="s">
        <v>712</v>
      </c>
      <c r="C536" s="205">
        <v>310</v>
      </c>
      <c r="D536" s="205">
        <f t="shared" si="11"/>
        <v>310</v>
      </c>
      <c r="E536" s="205">
        <v>310</v>
      </c>
      <c r="F536" s="205"/>
      <c r="G536" s="205"/>
      <c r="H536" s="205"/>
      <c r="I536" s="205"/>
      <c r="J536" s="205"/>
      <c r="K536" s="205"/>
      <c r="L536" s="205"/>
      <c r="M536" s="205"/>
      <c r="N536" s="213" t="s">
        <v>578</v>
      </c>
    </row>
    <row r="537" ht="18" customHeight="1" spans="1:14">
      <c r="A537" s="207"/>
      <c r="B537" s="210" t="s">
        <v>1593</v>
      </c>
      <c r="C537" s="211">
        <v>200</v>
      </c>
      <c r="D537" s="211">
        <f t="shared" si="11"/>
        <v>200</v>
      </c>
      <c r="E537" s="211">
        <v>200</v>
      </c>
      <c r="F537" s="211"/>
      <c r="G537" s="211"/>
      <c r="H537" s="211"/>
      <c r="I537" s="211"/>
      <c r="J537" s="211"/>
      <c r="K537" s="211"/>
      <c r="L537" s="211"/>
      <c r="M537" s="211"/>
      <c r="N537" s="213" t="s">
        <v>578</v>
      </c>
    </row>
    <row r="538" ht="18" customHeight="1" spans="1:14">
      <c r="A538" s="207"/>
      <c r="B538" s="210" t="s">
        <v>1594</v>
      </c>
      <c r="C538" s="211">
        <v>110</v>
      </c>
      <c r="D538" s="211">
        <f t="shared" si="11"/>
        <v>110</v>
      </c>
      <c r="E538" s="211">
        <v>110</v>
      </c>
      <c r="F538" s="211"/>
      <c r="G538" s="211"/>
      <c r="H538" s="211"/>
      <c r="I538" s="211"/>
      <c r="J538" s="211"/>
      <c r="K538" s="211"/>
      <c r="L538" s="211"/>
      <c r="M538" s="211"/>
      <c r="N538" s="213" t="s">
        <v>578</v>
      </c>
    </row>
    <row r="539" ht="18" customHeight="1" spans="1:14">
      <c r="A539" s="207">
        <v>304006</v>
      </c>
      <c r="B539" s="204" t="s">
        <v>713</v>
      </c>
      <c r="C539" s="205">
        <v>611</v>
      </c>
      <c r="D539" s="205">
        <f t="shared" si="11"/>
        <v>611</v>
      </c>
      <c r="E539" s="205">
        <v>130</v>
      </c>
      <c r="F539" s="205">
        <v>481</v>
      </c>
      <c r="G539" s="205"/>
      <c r="H539" s="205"/>
      <c r="I539" s="205"/>
      <c r="J539" s="205"/>
      <c r="K539" s="205"/>
      <c r="L539" s="205"/>
      <c r="M539" s="205"/>
      <c r="N539" s="213" t="s">
        <v>578</v>
      </c>
    </row>
    <row r="540" ht="18" customHeight="1" spans="1:14">
      <c r="A540" s="207"/>
      <c r="B540" s="210" t="s">
        <v>1595</v>
      </c>
      <c r="C540" s="211">
        <v>240</v>
      </c>
      <c r="D540" s="211">
        <f t="shared" si="11"/>
        <v>240</v>
      </c>
      <c r="E540" s="211"/>
      <c r="F540" s="211">
        <v>240</v>
      </c>
      <c r="G540" s="211"/>
      <c r="H540" s="211"/>
      <c r="I540" s="211"/>
      <c r="J540" s="211"/>
      <c r="K540" s="211"/>
      <c r="L540" s="211"/>
      <c r="M540" s="211"/>
      <c r="N540" s="213" t="s">
        <v>578</v>
      </c>
    </row>
    <row r="541" ht="18" customHeight="1" spans="1:14">
      <c r="A541" s="207"/>
      <c r="B541" s="210" t="s">
        <v>1596</v>
      </c>
      <c r="C541" s="211">
        <v>130</v>
      </c>
      <c r="D541" s="211">
        <f t="shared" si="11"/>
        <v>130</v>
      </c>
      <c r="E541" s="211">
        <v>130</v>
      </c>
      <c r="F541" s="211"/>
      <c r="G541" s="211"/>
      <c r="H541" s="211"/>
      <c r="I541" s="211"/>
      <c r="J541" s="211"/>
      <c r="K541" s="211"/>
      <c r="L541" s="211"/>
      <c r="M541" s="211"/>
      <c r="N541" s="213" t="s">
        <v>578</v>
      </c>
    </row>
    <row r="542" ht="18" customHeight="1" spans="1:14">
      <c r="A542" s="207"/>
      <c r="B542" s="210" t="s">
        <v>1597</v>
      </c>
      <c r="C542" s="211">
        <v>241</v>
      </c>
      <c r="D542" s="211">
        <f t="shared" si="11"/>
        <v>241</v>
      </c>
      <c r="E542" s="211"/>
      <c r="F542" s="211">
        <v>241</v>
      </c>
      <c r="G542" s="211"/>
      <c r="H542" s="211"/>
      <c r="I542" s="211"/>
      <c r="J542" s="211"/>
      <c r="K542" s="211"/>
      <c r="L542" s="211"/>
      <c r="M542" s="211"/>
      <c r="N542" s="213" t="s">
        <v>578</v>
      </c>
    </row>
    <row r="543" ht="18" customHeight="1" spans="1:14">
      <c r="A543" s="207">
        <v>304008</v>
      </c>
      <c r="B543" s="204" t="s">
        <v>714</v>
      </c>
      <c r="C543" s="205">
        <v>46</v>
      </c>
      <c r="D543" s="205">
        <f t="shared" si="11"/>
        <v>46</v>
      </c>
      <c r="E543" s="205">
        <v>46</v>
      </c>
      <c r="F543" s="205"/>
      <c r="G543" s="205"/>
      <c r="H543" s="205"/>
      <c r="I543" s="205"/>
      <c r="J543" s="205"/>
      <c r="K543" s="205"/>
      <c r="L543" s="205"/>
      <c r="M543" s="205"/>
      <c r="N543" s="213" t="s">
        <v>578</v>
      </c>
    </row>
    <row r="544" ht="18" customHeight="1" spans="1:14">
      <c r="A544" s="207"/>
      <c r="B544" s="210" t="s">
        <v>1598</v>
      </c>
      <c r="C544" s="211">
        <v>10</v>
      </c>
      <c r="D544" s="211">
        <f t="shared" si="11"/>
        <v>10</v>
      </c>
      <c r="E544" s="211">
        <v>10</v>
      </c>
      <c r="F544" s="211"/>
      <c r="G544" s="211"/>
      <c r="H544" s="211"/>
      <c r="I544" s="211"/>
      <c r="J544" s="211"/>
      <c r="K544" s="211"/>
      <c r="L544" s="211"/>
      <c r="M544" s="211"/>
      <c r="N544" s="213" t="s">
        <v>578</v>
      </c>
    </row>
    <row r="545" ht="18" customHeight="1" spans="1:14">
      <c r="A545" s="207"/>
      <c r="B545" s="210" t="s">
        <v>1599</v>
      </c>
      <c r="C545" s="211">
        <v>36</v>
      </c>
      <c r="D545" s="211">
        <f t="shared" si="11"/>
        <v>36</v>
      </c>
      <c r="E545" s="211">
        <v>36</v>
      </c>
      <c r="F545" s="211"/>
      <c r="G545" s="211"/>
      <c r="H545" s="211"/>
      <c r="I545" s="211"/>
      <c r="J545" s="211"/>
      <c r="K545" s="211"/>
      <c r="L545" s="211"/>
      <c r="M545" s="211"/>
      <c r="N545" s="213" t="s">
        <v>578</v>
      </c>
    </row>
    <row r="546" ht="18" customHeight="1" spans="1:14">
      <c r="A546" s="207">
        <v>305001</v>
      </c>
      <c r="B546" s="208" t="s">
        <v>715</v>
      </c>
      <c r="C546" s="205">
        <v>3007.63</v>
      </c>
      <c r="D546" s="205">
        <f t="shared" si="11"/>
        <v>3007.63</v>
      </c>
      <c r="E546" s="205">
        <v>3007.63</v>
      </c>
      <c r="F546" s="205"/>
      <c r="G546" s="205"/>
      <c r="H546" s="205"/>
      <c r="I546" s="205"/>
      <c r="J546" s="205"/>
      <c r="K546" s="205"/>
      <c r="L546" s="205"/>
      <c r="M546" s="205"/>
      <c r="N546" s="213" t="s">
        <v>578</v>
      </c>
    </row>
    <row r="547" ht="18" customHeight="1" spans="1:14">
      <c r="A547" s="207"/>
      <c r="B547" s="210" t="s">
        <v>1600</v>
      </c>
      <c r="C547" s="211">
        <v>7</v>
      </c>
      <c r="D547" s="211">
        <f t="shared" si="11"/>
        <v>7</v>
      </c>
      <c r="E547" s="211">
        <v>7</v>
      </c>
      <c r="F547" s="211"/>
      <c r="G547" s="211"/>
      <c r="H547" s="211"/>
      <c r="I547" s="211"/>
      <c r="J547" s="211"/>
      <c r="K547" s="211"/>
      <c r="L547" s="211"/>
      <c r="M547" s="211"/>
      <c r="N547" s="213" t="s">
        <v>578</v>
      </c>
    </row>
    <row r="548" ht="18" customHeight="1" spans="1:14">
      <c r="A548" s="207"/>
      <c r="B548" s="210" t="s">
        <v>1601</v>
      </c>
      <c r="C548" s="211">
        <v>42</v>
      </c>
      <c r="D548" s="211">
        <f t="shared" si="11"/>
        <v>42</v>
      </c>
      <c r="E548" s="211">
        <v>42</v>
      </c>
      <c r="F548" s="211"/>
      <c r="G548" s="211"/>
      <c r="H548" s="211"/>
      <c r="I548" s="211"/>
      <c r="J548" s="211"/>
      <c r="K548" s="211"/>
      <c r="L548" s="211"/>
      <c r="M548" s="211"/>
      <c r="N548" s="213" t="s">
        <v>578</v>
      </c>
    </row>
    <row r="549" ht="18" customHeight="1" spans="1:14">
      <c r="A549" s="207"/>
      <c r="B549" s="210" t="s">
        <v>1602</v>
      </c>
      <c r="C549" s="211">
        <v>650</v>
      </c>
      <c r="D549" s="211">
        <f t="shared" si="11"/>
        <v>650</v>
      </c>
      <c r="E549" s="211">
        <v>650</v>
      </c>
      <c r="F549" s="211"/>
      <c r="G549" s="211"/>
      <c r="H549" s="211"/>
      <c r="I549" s="211"/>
      <c r="J549" s="211"/>
      <c r="K549" s="211"/>
      <c r="L549" s="211"/>
      <c r="M549" s="211"/>
      <c r="N549" s="213" t="s">
        <v>578</v>
      </c>
    </row>
    <row r="550" ht="18" customHeight="1" spans="1:14">
      <c r="A550" s="207"/>
      <c r="B550" s="210" t="s">
        <v>1603</v>
      </c>
      <c r="C550" s="211">
        <v>234.02</v>
      </c>
      <c r="D550" s="211">
        <f t="shared" si="11"/>
        <v>234.02</v>
      </c>
      <c r="E550" s="211">
        <v>234.02</v>
      </c>
      <c r="F550" s="211"/>
      <c r="G550" s="211"/>
      <c r="H550" s="211"/>
      <c r="I550" s="211"/>
      <c r="J550" s="211"/>
      <c r="K550" s="211"/>
      <c r="L550" s="211"/>
      <c r="M550" s="211"/>
      <c r="N550" s="213" t="s">
        <v>578</v>
      </c>
    </row>
    <row r="551" ht="18" customHeight="1" spans="1:14">
      <c r="A551" s="207"/>
      <c r="B551" s="210" t="s">
        <v>1604</v>
      </c>
      <c r="C551" s="211">
        <v>32.34</v>
      </c>
      <c r="D551" s="211">
        <f t="shared" si="11"/>
        <v>32.34</v>
      </c>
      <c r="E551" s="211">
        <v>32.34</v>
      </c>
      <c r="F551" s="211"/>
      <c r="G551" s="211"/>
      <c r="H551" s="211"/>
      <c r="I551" s="211"/>
      <c r="J551" s="211"/>
      <c r="K551" s="211"/>
      <c r="L551" s="211"/>
      <c r="M551" s="211"/>
      <c r="N551" s="213" t="s">
        <v>578</v>
      </c>
    </row>
    <row r="552" ht="18" customHeight="1" spans="1:14">
      <c r="A552" s="207"/>
      <c r="B552" s="210" t="s">
        <v>1605</v>
      </c>
      <c r="C552" s="211">
        <v>12</v>
      </c>
      <c r="D552" s="211">
        <f t="shared" si="11"/>
        <v>12</v>
      </c>
      <c r="E552" s="211">
        <v>12</v>
      </c>
      <c r="F552" s="211"/>
      <c r="G552" s="211"/>
      <c r="H552" s="211"/>
      <c r="I552" s="211"/>
      <c r="J552" s="211"/>
      <c r="K552" s="211"/>
      <c r="L552" s="211"/>
      <c r="M552" s="211"/>
      <c r="N552" s="213" t="s">
        <v>578</v>
      </c>
    </row>
    <row r="553" ht="18" customHeight="1" spans="1:14">
      <c r="A553" s="207"/>
      <c r="B553" s="210" t="s">
        <v>1606</v>
      </c>
      <c r="C553" s="211">
        <v>93.3</v>
      </c>
      <c r="D553" s="211">
        <f t="shared" si="11"/>
        <v>93.3</v>
      </c>
      <c r="E553" s="211">
        <v>93.3</v>
      </c>
      <c r="F553" s="211"/>
      <c r="G553" s="211"/>
      <c r="H553" s="211"/>
      <c r="I553" s="211"/>
      <c r="J553" s="211"/>
      <c r="K553" s="211"/>
      <c r="L553" s="211"/>
      <c r="M553" s="211"/>
      <c r="N553" s="213" t="s">
        <v>578</v>
      </c>
    </row>
    <row r="554" ht="18" customHeight="1" spans="1:14">
      <c r="A554" s="207"/>
      <c r="B554" s="210" t="s">
        <v>1607</v>
      </c>
      <c r="C554" s="211">
        <v>22.98</v>
      </c>
      <c r="D554" s="211">
        <f t="shared" si="11"/>
        <v>22.98</v>
      </c>
      <c r="E554" s="211">
        <v>22.98</v>
      </c>
      <c r="F554" s="211"/>
      <c r="G554" s="211"/>
      <c r="H554" s="211"/>
      <c r="I554" s="211"/>
      <c r="J554" s="211"/>
      <c r="K554" s="211"/>
      <c r="L554" s="211"/>
      <c r="M554" s="211"/>
      <c r="N554" s="213" t="s">
        <v>578</v>
      </c>
    </row>
    <row r="555" ht="18" customHeight="1" spans="1:14">
      <c r="A555" s="207"/>
      <c r="B555" s="210" t="s">
        <v>1608</v>
      </c>
      <c r="C555" s="211">
        <v>16</v>
      </c>
      <c r="D555" s="211">
        <f t="shared" si="11"/>
        <v>16</v>
      </c>
      <c r="E555" s="211">
        <v>16</v>
      </c>
      <c r="F555" s="211"/>
      <c r="G555" s="211"/>
      <c r="H555" s="211"/>
      <c r="I555" s="211"/>
      <c r="J555" s="211"/>
      <c r="K555" s="211"/>
      <c r="L555" s="211"/>
      <c r="M555" s="211"/>
      <c r="N555" s="213" t="s">
        <v>578</v>
      </c>
    </row>
    <row r="556" ht="18" customHeight="1" spans="1:14">
      <c r="A556" s="207"/>
      <c r="B556" s="210" t="s">
        <v>1609</v>
      </c>
      <c r="C556" s="211">
        <v>28</v>
      </c>
      <c r="D556" s="211">
        <f t="shared" si="11"/>
        <v>28</v>
      </c>
      <c r="E556" s="211">
        <v>28</v>
      </c>
      <c r="F556" s="211"/>
      <c r="G556" s="211"/>
      <c r="H556" s="211"/>
      <c r="I556" s="211"/>
      <c r="J556" s="211"/>
      <c r="K556" s="211"/>
      <c r="L556" s="211"/>
      <c r="M556" s="211"/>
      <c r="N556" s="213" t="s">
        <v>578</v>
      </c>
    </row>
    <row r="557" ht="18" customHeight="1" spans="1:14">
      <c r="A557" s="207"/>
      <c r="B557" s="210" t="s">
        <v>1610</v>
      </c>
      <c r="C557" s="211">
        <v>184.73</v>
      </c>
      <c r="D557" s="211">
        <f t="shared" si="11"/>
        <v>184.73</v>
      </c>
      <c r="E557" s="211">
        <v>184.73</v>
      </c>
      <c r="F557" s="211"/>
      <c r="G557" s="211"/>
      <c r="H557" s="211"/>
      <c r="I557" s="211"/>
      <c r="J557" s="211"/>
      <c r="K557" s="211"/>
      <c r="L557" s="211"/>
      <c r="M557" s="211"/>
      <c r="N557" s="213" t="s">
        <v>578</v>
      </c>
    </row>
    <row r="558" ht="18" customHeight="1" spans="1:14">
      <c r="A558" s="207"/>
      <c r="B558" s="210" t="s">
        <v>1611</v>
      </c>
      <c r="C558" s="211">
        <v>200</v>
      </c>
      <c r="D558" s="211">
        <f t="shared" si="11"/>
        <v>200</v>
      </c>
      <c r="E558" s="211">
        <v>200</v>
      </c>
      <c r="F558" s="211"/>
      <c r="G558" s="211"/>
      <c r="H558" s="211"/>
      <c r="I558" s="211"/>
      <c r="J558" s="211"/>
      <c r="K558" s="211"/>
      <c r="L558" s="211"/>
      <c r="M558" s="211"/>
      <c r="N558" s="213" t="s">
        <v>578</v>
      </c>
    </row>
    <row r="559" ht="18" customHeight="1" spans="1:14">
      <c r="A559" s="207"/>
      <c r="B559" s="210" t="s">
        <v>1612</v>
      </c>
      <c r="C559" s="211">
        <v>35.36</v>
      </c>
      <c r="D559" s="211">
        <f t="shared" si="11"/>
        <v>35.36</v>
      </c>
      <c r="E559" s="211">
        <v>35.36</v>
      </c>
      <c r="F559" s="211"/>
      <c r="G559" s="211"/>
      <c r="H559" s="211"/>
      <c r="I559" s="211"/>
      <c r="J559" s="211"/>
      <c r="K559" s="211"/>
      <c r="L559" s="211"/>
      <c r="M559" s="211"/>
      <c r="N559" s="213" t="s">
        <v>578</v>
      </c>
    </row>
    <row r="560" ht="18" customHeight="1" spans="1:14">
      <c r="A560" s="207"/>
      <c r="B560" s="210" t="s">
        <v>1613</v>
      </c>
      <c r="C560" s="211">
        <v>22</v>
      </c>
      <c r="D560" s="211">
        <f t="shared" si="11"/>
        <v>22</v>
      </c>
      <c r="E560" s="211">
        <v>22</v>
      </c>
      <c r="F560" s="211"/>
      <c r="G560" s="211"/>
      <c r="H560" s="211"/>
      <c r="I560" s="211"/>
      <c r="J560" s="211"/>
      <c r="K560" s="211"/>
      <c r="L560" s="211"/>
      <c r="M560" s="211"/>
      <c r="N560" s="213" t="s">
        <v>578</v>
      </c>
    </row>
    <row r="561" ht="18" customHeight="1" spans="1:14">
      <c r="A561" s="207"/>
      <c r="B561" s="210" t="s">
        <v>1614</v>
      </c>
      <c r="C561" s="211">
        <v>795</v>
      </c>
      <c r="D561" s="211">
        <f t="shared" si="11"/>
        <v>795</v>
      </c>
      <c r="E561" s="211">
        <v>795</v>
      </c>
      <c r="F561" s="211"/>
      <c r="G561" s="211"/>
      <c r="H561" s="211"/>
      <c r="I561" s="211"/>
      <c r="J561" s="211"/>
      <c r="K561" s="211"/>
      <c r="L561" s="211"/>
      <c r="M561" s="211"/>
      <c r="N561" s="213" t="s">
        <v>578</v>
      </c>
    </row>
    <row r="562" ht="18" customHeight="1" spans="1:14">
      <c r="A562" s="207"/>
      <c r="B562" s="210" t="s">
        <v>1615</v>
      </c>
      <c r="C562" s="211">
        <v>10</v>
      </c>
      <c r="D562" s="211">
        <f t="shared" ref="D562:D594" si="12">E562+F562</f>
        <v>10</v>
      </c>
      <c r="E562" s="211">
        <v>10</v>
      </c>
      <c r="F562" s="211"/>
      <c r="G562" s="211"/>
      <c r="H562" s="211"/>
      <c r="I562" s="211"/>
      <c r="J562" s="211"/>
      <c r="K562" s="211"/>
      <c r="L562" s="211"/>
      <c r="M562" s="211"/>
      <c r="N562" s="213" t="s">
        <v>578</v>
      </c>
    </row>
    <row r="563" ht="18" customHeight="1" spans="1:14">
      <c r="A563" s="207"/>
      <c r="B563" s="210" t="s">
        <v>1616</v>
      </c>
      <c r="C563" s="211">
        <v>8.2</v>
      </c>
      <c r="D563" s="211">
        <f t="shared" si="12"/>
        <v>8.2</v>
      </c>
      <c r="E563" s="211">
        <v>8.2</v>
      </c>
      <c r="F563" s="211"/>
      <c r="G563" s="211"/>
      <c r="H563" s="211"/>
      <c r="I563" s="211"/>
      <c r="J563" s="211"/>
      <c r="K563" s="211"/>
      <c r="L563" s="211"/>
      <c r="M563" s="211"/>
      <c r="N563" s="213" t="s">
        <v>578</v>
      </c>
    </row>
    <row r="564" ht="18" customHeight="1" spans="1:14">
      <c r="A564" s="207"/>
      <c r="B564" s="210" t="s">
        <v>1617</v>
      </c>
      <c r="C564" s="211">
        <v>12</v>
      </c>
      <c r="D564" s="211">
        <f t="shared" si="12"/>
        <v>12</v>
      </c>
      <c r="E564" s="211">
        <v>12</v>
      </c>
      <c r="F564" s="211"/>
      <c r="G564" s="211"/>
      <c r="H564" s="211"/>
      <c r="I564" s="211"/>
      <c r="J564" s="211"/>
      <c r="K564" s="211"/>
      <c r="L564" s="211"/>
      <c r="M564" s="211"/>
      <c r="N564" s="213" t="s">
        <v>578</v>
      </c>
    </row>
    <row r="565" ht="18" customHeight="1" spans="1:14">
      <c r="A565" s="207"/>
      <c r="B565" s="210" t="s">
        <v>1618</v>
      </c>
      <c r="C565" s="211">
        <v>135</v>
      </c>
      <c r="D565" s="211">
        <f t="shared" si="12"/>
        <v>135</v>
      </c>
      <c r="E565" s="211">
        <v>135</v>
      </c>
      <c r="F565" s="211"/>
      <c r="G565" s="211"/>
      <c r="H565" s="211"/>
      <c r="I565" s="211"/>
      <c r="J565" s="211"/>
      <c r="K565" s="211"/>
      <c r="L565" s="211"/>
      <c r="M565" s="211"/>
      <c r="N565" s="213" t="s">
        <v>578</v>
      </c>
    </row>
    <row r="566" ht="18" customHeight="1" spans="1:14">
      <c r="A566" s="207"/>
      <c r="B566" s="210" t="s">
        <v>1619</v>
      </c>
      <c r="C566" s="211">
        <v>18.3</v>
      </c>
      <c r="D566" s="211">
        <f t="shared" si="12"/>
        <v>18.3</v>
      </c>
      <c r="E566" s="211">
        <v>18.3</v>
      </c>
      <c r="F566" s="211"/>
      <c r="G566" s="211"/>
      <c r="H566" s="211"/>
      <c r="I566" s="211"/>
      <c r="J566" s="211"/>
      <c r="K566" s="211"/>
      <c r="L566" s="211"/>
      <c r="M566" s="211"/>
      <c r="N566" s="213" t="s">
        <v>578</v>
      </c>
    </row>
    <row r="567" ht="18" customHeight="1" spans="1:14">
      <c r="A567" s="207"/>
      <c r="B567" s="210" t="s">
        <v>1620</v>
      </c>
      <c r="C567" s="211">
        <v>449.4</v>
      </c>
      <c r="D567" s="211">
        <f t="shared" si="12"/>
        <v>449.4</v>
      </c>
      <c r="E567" s="211">
        <v>449.4</v>
      </c>
      <c r="F567" s="211"/>
      <c r="G567" s="211"/>
      <c r="H567" s="211"/>
      <c r="I567" s="211"/>
      <c r="J567" s="211"/>
      <c r="K567" s="211"/>
      <c r="L567" s="211"/>
      <c r="M567" s="211"/>
      <c r="N567" s="213" t="s">
        <v>578</v>
      </c>
    </row>
    <row r="568" ht="18" customHeight="1" spans="1:14">
      <c r="A568" s="207">
        <v>306001</v>
      </c>
      <c r="B568" s="204" t="s">
        <v>716</v>
      </c>
      <c r="C568" s="205">
        <v>154.76</v>
      </c>
      <c r="D568" s="205">
        <f t="shared" si="12"/>
        <v>154.76</v>
      </c>
      <c r="E568" s="205">
        <v>154.76</v>
      </c>
      <c r="F568" s="205"/>
      <c r="G568" s="205"/>
      <c r="H568" s="205"/>
      <c r="I568" s="205"/>
      <c r="J568" s="205"/>
      <c r="K568" s="205"/>
      <c r="L568" s="205"/>
      <c r="M568" s="205"/>
      <c r="N568" s="213" t="s">
        <v>578</v>
      </c>
    </row>
    <row r="569" ht="18" customHeight="1" spans="1:14">
      <c r="A569" s="207"/>
      <c r="B569" s="210" t="s">
        <v>1621</v>
      </c>
      <c r="C569" s="211">
        <v>4</v>
      </c>
      <c r="D569" s="211">
        <f t="shared" si="12"/>
        <v>4</v>
      </c>
      <c r="E569" s="211">
        <v>4</v>
      </c>
      <c r="F569" s="211"/>
      <c r="G569" s="211"/>
      <c r="H569" s="211"/>
      <c r="I569" s="211"/>
      <c r="J569" s="211"/>
      <c r="K569" s="211"/>
      <c r="L569" s="211"/>
      <c r="M569" s="211"/>
      <c r="N569" s="213" t="s">
        <v>578</v>
      </c>
    </row>
    <row r="570" ht="18" customHeight="1" spans="1:14">
      <c r="A570" s="207"/>
      <c r="B570" s="210" t="s">
        <v>1622</v>
      </c>
      <c r="C570" s="211">
        <v>23.5</v>
      </c>
      <c r="D570" s="211">
        <f t="shared" si="12"/>
        <v>23.5</v>
      </c>
      <c r="E570" s="211">
        <v>23.5</v>
      </c>
      <c r="F570" s="211"/>
      <c r="G570" s="211"/>
      <c r="H570" s="211"/>
      <c r="I570" s="211"/>
      <c r="J570" s="211"/>
      <c r="K570" s="211"/>
      <c r="L570" s="211"/>
      <c r="M570" s="211"/>
      <c r="N570" s="213" t="s">
        <v>578</v>
      </c>
    </row>
    <row r="571" ht="18" customHeight="1" spans="1:14">
      <c r="A571" s="207"/>
      <c r="B571" s="210" t="s">
        <v>1623</v>
      </c>
      <c r="C571" s="211">
        <v>44</v>
      </c>
      <c r="D571" s="211">
        <f t="shared" si="12"/>
        <v>44</v>
      </c>
      <c r="E571" s="211">
        <v>44</v>
      </c>
      <c r="F571" s="211"/>
      <c r="G571" s="211"/>
      <c r="H571" s="211"/>
      <c r="I571" s="211"/>
      <c r="J571" s="211"/>
      <c r="K571" s="211"/>
      <c r="L571" s="211"/>
      <c r="M571" s="211"/>
      <c r="N571" s="213" t="s">
        <v>578</v>
      </c>
    </row>
    <row r="572" ht="18" customHeight="1" spans="1:14">
      <c r="A572" s="207"/>
      <c r="B572" s="210" t="s">
        <v>1624</v>
      </c>
      <c r="C572" s="211">
        <v>3</v>
      </c>
      <c r="D572" s="211">
        <f t="shared" si="12"/>
        <v>3</v>
      </c>
      <c r="E572" s="211">
        <v>3</v>
      </c>
      <c r="F572" s="211"/>
      <c r="G572" s="211"/>
      <c r="H572" s="211"/>
      <c r="I572" s="211"/>
      <c r="J572" s="211"/>
      <c r="K572" s="211"/>
      <c r="L572" s="211"/>
      <c r="M572" s="211"/>
      <c r="N572" s="213" t="s">
        <v>578</v>
      </c>
    </row>
    <row r="573" ht="18" customHeight="1" spans="1:14">
      <c r="A573" s="207"/>
      <c r="B573" s="210" t="s">
        <v>1625</v>
      </c>
      <c r="C573" s="211">
        <v>43.76</v>
      </c>
      <c r="D573" s="211">
        <f t="shared" si="12"/>
        <v>43.76</v>
      </c>
      <c r="E573" s="211">
        <v>43.76</v>
      </c>
      <c r="F573" s="211"/>
      <c r="G573" s="211"/>
      <c r="H573" s="211"/>
      <c r="I573" s="211"/>
      <c r="J573" s="211"/>
      <c r="K573" s="211"/>
      <c r="L573" s="211"/>
      <c r="M573" s="211"/>
      <c r="N573" s="213" t="s">
        <v>578</v>
      </c>
    </row>
    <row r="574" ht="18" customHeight="1" spans="1:14">
      <c r="A574" s="207"/>
      <c r="B574" s="210" t="s">
        <v>1626</v>
      </c>
      <c r="C574" s="211">
        <v>13.5</v>
      </c>
      <c r="D574" s="211">
        <f t="shared" si="12"/>
        <v>13.5</v>
      </c>
      <c r="E574" s="211">
        <v>13.5</v>
      </c>
      <c r="F574" s="211"/>
      <c r="G574" s="211"/>
      <c r="H574" s="211"/>
      <c r="I574" s="211"/>
      <c r="J574" s="211"/>
      <c r="K574" s="211"/>
      <c r="L574" s="211"/>
      <c r="M574" s="211"/>
      <c r="N574" s="213" t="s">
        <v>578</v>
      </c>
    </row>
    <row r="575" ht="18" customHeight="1" spans="1:14">
      <c r="A575" s="207"/>
      <c r="B575" s="210" t="s">
        <v>1627</v>
      </c>
      <c r="C575" s="211">
        <v>23</v>
      </c>
      <c r="D575" s="211">
        <f t="shared" si="12"/>
        <v>23</v>
      </c>
      <c r="E575" s="211">
        <v>23</v>
      </c>
      <c r="F575" s="211"/>
      <c r="G575" s="211"/>
      <c r="H575" s="211"/>
      <c r="I575" s="211"/>
      <c r="J575" s="211"/>
      <c r="K575" s="211"/>
      <c r="L575" s="211"/>
      <c r="M575" s="211"/>
      <c r="N575" s="213" t="s">
        <v>578</v>
      </c>
    </row>
    <row r="576" ht="18" customHeight="1" spans="1:14">
      <c r="A576" s="207">
        <v>307001</v>
      </c>
      <c r="B576" s="204" t="s">
        <v>717</v>
      </c>
      <c r="C576" s="205">
        <v>752.85</v>
      </c>
      <c r="D576" s="205">
        <f t="shared" si="12"/>
        <v>752.85</v>
      </c>
      <c r="E576" s="205">
        <v>629.85</v>
      </c>
      <c r="F576" s="205">
        <v>123</v>
      </c>
      <c r="G576" s="205"/>
      <c r="H576" s="205"/>
      <c r="I576" s="205"/>
      <c r="J576" s="205"/>
      <c r="K576" s="205"/>
      <c r="L576" s="205"/>
      <c r="M576" s="205"/>
      <c r="N576" s="213" t="s">
        <v>578</v>
      </c>
    </row>
    <row r="577" ht="18" customHeight="1" spans="1:14">
      <c r="A577" s="207"/>
      <c r="B577" s="210" t="s">
        <v>1628</v>
      </c>
      <c r="C577" s="211">
        <v>40</v>
      </c>
      <c r="D577" s="211">
        <f t="shared" si="12"/>
        <v>40</v>
      </c>
      <c r="E577" s="211">
        <v>40</v>
      </c>
      <c r="F577" s="211"/>
      <c r="G577" s="211"/>
      <c r="H577" s="211"/>
      <c r="I577" s="211"/>
      <c r="J577" s="211"/>
      <c r="K577" s="211"/>
      <c r="L577" s="211"/>
      <c r="M577" s="211"/>
      <c r="N577" s="213" t="s">
        <v>578</v>
      </c>
    </row>
    <row r="578" ht="18" customHeight="1" spans="1:14">
      <c r="A578" s="207"/>
      <c r="B578" s="210" t="s">
        <v>1629</v>
      </c>
      <c r="C578" s="211">
        <v>89</v>
      </c>
      <c r="D578" s="211">
        <f t="shared" si="12"/>
        <v>89</v>
      </c>
      <c r="E578" s="211">
        <v>89</v>
      </c>
      <c r="F578" s="211"/>
      <c r="G578" s="211"/>
      <c r="H578" s="211"/>
      <c r="I578" s="211"/>
      <c r="J578" s="211"/>
      <c r="K578" s="211"/>
      <c r="L578" s="211"/>
      <c r="M578" s="211"/>
      <c r="N578" s="213" t="s">
        <v>578</v>
      </c>
    </row>
    <row r="579" ht="18" customHeight="1" spans="1:14">
      <c r="A579" s="207"/>
      <c r="B579" s="210" t="s">
        <v>1630</v>
      </c>
      <c r="C579" s="211">
        <v>42.85</v>
      </c>
      <c r="D579" s="211">
        <f t="shared" si="12"/>
        <v>42.85</v>
      </c>
      <c r="E579" s="211">
        <v>42.85</v>
      </c>
      <c r="F579" s="211"/>
      <c r="G579" s="211"/>
      <c r="H579" s="211"/>
      <c r="I579" s="211"/>
      <c r="J579" s="211"/>
      <c r="K579" s="211"/>
      <c r="L579" s="211"/>
      <c r="M579" s="211"/>
      <c r="N579" s="213" t="s">
        <v>578</v>
      </c>
    </row>
    <row r="580" ht="18" customHeight="1" spans="1:14">
      <c r="A580" s="207"/>
      <c r="B580" s="210" t="s">
        <v>1631</v>
      </c>
      <c r="C580" s="211">
        <v>10</v>
      </c>
      <c r="D580" s="211">
        <f t="shared" si="12"/>
        <v>10</v>
      </c>
      <c r="E580" s="211">
        <v>10</v>
      </c>
      <c r="F580" s="211"/>
      <c r="G580" s="211"/>
      <c r="H580" s="211"/>
      <c r="I580" s="211"/>
      <c r="J580" s="211"/>
      <c r="K580" s="211"/>
      <c r="L580" s="211"/>
      <c r="M580" s="211"/>
      <c r="N580" s="213" t="s">
        <v>578</v>
      </c>
    </row>
    <row r="581" ht="18" customHeight="1" spans="1:14">
      <c r="A581" s="207"/>
      <c r="B581" s="210" t="s">
        <v>1632</v>
      </c>
      <c r="C581" s="211">
        <v>18</v>
      </c>
      <c r="D581" s="211">
        <f t="shared" si="12"/>
        <v>18</v>
      </c>
      <c r="E581" s="211">
        <v>18</v>
      </c>
      <c r="F581" s="211"/>
      <c r="G581" s="211"/>
      <c r="H581" s="211"/>
      <c r="I581" s="211"/>
      <c r="J581" s="211"/>
      <c r="K581" s="211"/>
      <c r="L581" s="211"/>
      <c r="M581" s="211"/>
      <c r="N581" s="213" t="s">
        <v>578</v>
      </c>
    </row>
    <row r="582" ht="18" customHeight="1" spans="1:14">
      <c r="A582" s="207"/>
      <c r="B582" s="210" t="s">
        <v>1633</v>
      </c>
      <c r="C582" s="211">
        <v>90</v>
      </c>
      <c r="D582" s="211">
        <f t="shared" si="12"/>
        <v>90</v>
      </c>
      <c r="E582" s="211">
        <v>90</v>
      </c>
      <c r="F582" s="211"/>
      <c r="G582" s="211"/>
      <c r="H582" s="211"/>
      <c r="I582" s="211"/>
      <c r="J582" s="211"/>
      <c r="K582" s="211"/>
      <c r="L582" s="211"/>
      <c r="M582" s="211"/>
      <c r="N582" s="213" t="s">
        <v>578</v>
      </c>
    </row>
    <row r="583" ht="18" customHeight="1" spans="1:14">
      <c r="A583" s="207"/>
      <c r="B583" s="210" t="s">
        <v>1634</v>
      </c>
      <c r="C583" s="211">
        <v>10</v>
      </c>
      <c r="D583" s="211">
        <f t="shared" si="12"/>
        <v>10</v>
      </c>
      <c r="E583" s="211">
        <v>10</v>
      </c>
      <c r="F583" s="211"/>
      <c r="G583" s="211"/>
      <c r="H583" s="211"/>
      <c r="I583" s="211"/>
      <c r="J583" s="211"/>
      <c r="K583" s="211"/>
      <c r="L583" s="211"/>
      <c r="M583" s="211"/>
      <c r="N583" s="213" t="s">
        <v>578</v>
      </c>
    </row>
    <row r="584" ht="18" customHeight="1" spans="1:14">
      <c r="A584" s="207"/>
      <c r="B584" s="210" t="s">
        <v>1635</v>
      </c>
      <c r="C584" s="211">
        <v>80</v>
      </c>
      <c r="D584" s="211">
        <f t="shared" si="12"/>
        <v>80</v>
      </c>
      <c r="E584" s="211">
        <v>80</v>
      </c>
      <c r="F584" s="211"/>
      <c r="G584" s="211"/>
      <c r="H584" s="211"/>
      <c r="I584" s="211"/>
      <c r="J584" s="211"/>
      <c r="K584" s="211"/>
      <c r="L584" s="211"/>
      <c r="M584" s="211"/>
      <c r="N584" s="213" t="s">
        <v>578</v>
      </c>
    </row>
    <row r="585" ht="18" customHeight="1" spans="1:14">
      <c r="A585" s="207"/>
      <c r="B585" s="210" t="s">
        <v>1636</v>
      </c>
      <c r="C585" s="211">
        <v>9</v>
      </c>
      <c r="D585" s="211">
        <f t="shared" si="12"/>
        <v>9</v>
      </c>
      <c r="E585" s="211">
        <v>9</v>
      </c>
      <c r="F585" s="211"/>
      <c r="G585" s="211"/>
      <c r="H585" s="211"/>
      <c r="I585" s="211"/>
      <c r="J585" s="211"/>
      <c r="K585" s="211"/>
      <c r="L585" s="211"/>
      <c r="M585" s="211"/>
      <c r="N585" s="213" t="s">
        <v>578</v>
      </c>
    </row>
    <row r="586" ht="18" customHeight="1" spans="1:14">
      <c r="A586" s="207"/>
      <c r="B586" s="210" t="s">
        <v>1637</v>
      </c>
      <c r="C586" s="211">
        <v>50</v>
      </c>
      <c r="D586" s="211">
        <f t="shared" si="12"/>
        <v>50</v>
      </c>
      <c r="E586" s="211">
        <v>50</v>
      </c>
      <c r="F586" s="211"/>
      <c r="G586" s="211"/>
      <c r="H586" s="211"/>
      <c r="I586" s="211"/>
      <c r="J586" s="211"/>
      <c r="K586" s="211"/>
      <c r="L586" s="211"/>
      <c r="M586" s="211"/>
      <c r="N586" s="213" t="s">
        <v>578</v>
      </c>
    </row>
    <row r="587" ht="18" customHeight="1" spans="1:14">
      <c r="A587" s="207"/>
      <c r="B587" s="210" t="s">
        <v>1638</v>
      </c>
      <c r="C587" s="211">
        <v>7</v>
      </c>
      <c r="D587" s="211">
        <f t="shared" si="12"/>
        <v>7</v>
      </c>
      <c r="E587" s="211">
        <v>7</v>
      </c>
      <c r="F587" s="211"/>
      <c r="G587" s="211"/>
      <c r="H587" s="211"/>
      <c r="I587" s="211"/>
      <c r="J587" s="211"/>
      <c r="K587" s="211"/>
      <c r="L587" s="211"/>
      <c r="M587" s="211"/>
      <c r="N587" s="213" t="s">
        <v>578</v>
      </c>
    </row>
    <row r="588" ht="18" customHeight="1" spans="1:14">
      <c r="A588" s="207"/>
      <c r="B588" s="210" t="s">
        <v>1639</v>
      </c>
      <c r="C588" s="211">
        <v>10</v>
      </c>
      <c r="D588" s="211">
        <f t="shared" si="12"/>
        <v>10</v>
      </c>
      <c r="E588" s="211">
        <v>10</v>
      </c>
      <c r="F588" s="211"/>
      <c r="G588" s="211"/>
      <c r="H588" s="211"/>
      <c r="I588" s="211"/>
      <c r="J588" s="211"/>
      <c r="K588" s="211"/>
      <c r="L588" s="211"/>
      <c r="M588" s="211"/>
      <c r="N588" s="213" t="s">
        <v>578</v>
      </c>
    </row>
    <row r="589" ht="18" customHeight="1" spans="1:14">
      <c r="A589" s="207"/>
      <c r="B589" s="210" t="s">
        <v>1640</v>
      </c>
      <c r="C589" s="211">
        <v>3</v>
      </c>
      <c r="D589" s="211">
        <f t="shared" si="12"/>
        <v>3</v>
      </c>
      <c r="E589" s="211">
        <v>3</v>
      </c>
      <c r="F589" s="211"/>
      <c r="G589" s="211"/>
      <c r="H589" s="211"/>
      <c r="I589" s="211"/>
      <c r="J589" s="211"/>
      <c r="K589" s="211"/>
      <c r="L589" s="211"/>
      <c r="M589" s="211"/>
      <c r="N589" s="213" t="s">
        <v>578</v>
      </c>
    </row>
    <row r="590" ht="18" customHeight="1" spans="1:14">
      <c r="A590" s="207"/>
      <c r="B590" s="210" t="s">
        <v>1641</v>
      </c>
      <c r="C590" s="211">
        <v>35</v>
      </c>
      <c r="D590" s="211">
        <f t="shared" si="12"/>
        <v>35</v>
      </c>
      <c r="E590" s="211">
        <v>35</v>
      </c>
      <c r="F590" s="211"/>
      <c r="G590" s="211"/>
      <c r="H590" s="211"/>
      <c r="I590" s="211"/>
      <c r="J590" s="211"/>
      <c r="K590" s="211"/>
      <c r="L590" s="211"/>
      <c r="M590" s="211"/>
      <c r="N590" s="213" t="s">
        <v>578</v>
      </c>
    </row>
    <row r="591" ht="18" customHeight="1" spans="1:14">
      <c r="A591" s="207"/>
      <c r="B591" s="210" t="s">
        <v>1642</v>
      </c>
      <c r="C591" s="211">
        <v>30</v>
      </c>
      <c r="D591" s="211">
        <f t="shared" si="12"/>
        <v>30</v>
      </c>
      <c r="E591" s="211">
        <v>30</v>
      </c>
      <c r="F591" s="211"/>
      <c r="G591" s="211"/>
      <c r="H591" s="211"/>
      <c r="I591" s="211"/>
      <c r="J591" s="211"/>
      <c r="K591" s="211"/>
      <c r="L591" s="211"/>
      <c r="M591" s="211"/>
      <c r="N591" s="213" t="s">
        <v>578</v>
      </c>
    </row>
    <row r="592" ht="18" customHeight="1" spans="1:14">
      <c r="A592" s="207"/>
      <c r="B592" s="210" t="s">
        <v>1643</v>
      </c>
      <c r="C592" s="211">
        <v>123</v>
      </c>
      <c r="D592" s="211">
        <f t="shared" si="12"/>
        <v>123</v>
      </c>
      <c r="E592" s="211"/>
      <c r="F592" s="211">
        <v>123</v>
      </c>
      <c r="G592" s="211"/>
      <c r="H592" s="211"/>
      <c r="I592" s="211"/>
      <c r="J592" s="211"/>
      <c r="K592" s="211"/>
      <c r="L592" s="211"/>
      <c r="M592" s="211"/>
      <c r="N592" s="213" t="s">
        <v>578</v>
      </c>
    </row>
    <row r="593" ht="18" customHeight="1" spans="1:14">
      <c r="A593" s="207"/>
      <c r="B593" s="210" t="s">
        <v>1644</v>
      </c>
      <c r="C593" s="211">
        <v>100</v>
      </c>
      <c r="D593" s="211">
        <f t="shared" si="12"/>
        <v>100</v>
      </c>
      <c r="E593" s="211">
        <v>100</v>
      </c>
      <c r="F593" s="211"/>
      <c r="G593" s="211"/>
      <c r="H593" s="211"/>
      <c r="I593" s="211"/>
      <c r="J593" s="211"/>
      <c r="K593" s="211"/>
      <c r="L593" s="211"/>
      <c r="M593" s="211"/>
      <c r="N593" s="213" t="s">
        <v>578</v>
      </c>
    </row>
    <row r="594" ht="18" customHeight="1" spans="1:14">
      <c r="A594" s="207"/>
      <c r="B594" s="210" t="s">
        <v>1645</v>
      </c>
      <c r="C594" s="211">
        <v>6</v>
      </c>
      <c r="D594" s="211">
        <f t="shared" si="12"/>
        <v>6</v>
      </c>
      <c r="E594" s="211">
        <v>6</v>
      </c>
      <c r="F594" s="211"/>
      <c r="G594" s="211"/>
      <c r="H594" s="211"/>
      <c r="I594" s="211"/>
      <c r="J594" s="211"/>
      <c r="K594" s="211"/>
      <c r="L594" s="211"/>
      <c r="M594" s="211"/>
      <c r="N594" s="213" t="s">
        <v>578</v>
      </c>
    </row>
    <row r="595" ht="18" customHeight="1" spans="1:14">
      <c r="A595" s="207"/>
      <c r="B595" s="204" t="s">
        <v>718</v>
      </c>
      <c r="C595" s="205">
        <f>C596+C626+C628</f>
        <v>2820.49</v>
      </c>
      <c r="D595" s="205">
        <f>D596+D626+D628</f>
        <v>2820.49</v>
      </c>
      <c r="E595" s="205">
        <f>E596+E626+E628</f>
        <v>2820.49</v>
      </c>
      <c r="F595" s="205"/>
      <c r="G595" s="205"/>
      <c r="H595" s="205"/>
      <c r="I595" s="205"/>
      <c r="J595" s="205">
        <v>0</v>
      </c>
      <c r="K595" s="205">
        <v>0</v>
      </c>
      <c r="L595" s="205">
        <v>0</v>
      </c>
      <c r="M595" s="205"/>
      <c r="N595" s="213" t="s">
        <v>578</v>
      </c>
    </row>
    <row r="596" ht="18" customHeight="1" spans="1:14">
      <c r="A596" s="207">
        <v>402001</v>
      </c>
      <c r="B596" s="214" t="s">
        <v>720</v>
      </c>
      <c r="C596" s="205">
        <v>2595.1</v>
      </c>
      <c r="D596" s="205">
        <f t="shared" ref="D596:D629" si="13">E596+F596</f>
        <v>2595.1</v>
      </c>
      <c r="E596" s="205">
        <v>2595.1</v>
      </c>
      <c r="F596" s="205"/>
      <c r="G596" s="205"/>
      <c r="H596" s="205"/>
      <c r="I596" s="205"/>
      <c r="J596" s="205"/>
      <c r="K596" s="205"/>
      <c r="L596" s="205"/>
      <c r="M596" s="205"/>
      <c r="N596" s="213" t="s">
        <v>578</v>
      </c>
    </row>
    <row r="597" ht="18" customHeight="1" spans="1:14">
      <c r="A597" s="207"/>
      <c r="B597" s="210" t="s">
        <v>1646</v>
      </c>
      <c r="C597" s="211">
        <v>20</v>
      </c>
      <c r="D597" s="211">
        <f t="shared" si="13"/>
        <v>20</v>
      </c>
      <c r="E597" s="211">
        <v>20</v>
      </c>
      <c r="F597" s="211"/>
      <c r="G597" s="211"/>
      <c r="H597" s="211"/>
      <c r="I597" s="211"/>
      <c r="J597" s="211"/>
      <c r="K597" s="211"/>
      <c r="L597" s="211"/>
      <c r="M597" s="211"/>
      <c r="N597" s="213" t="s">
        <v>578</v>
      </c>
    </row>
    <row r="598" ht="18" customHeight="1" spans="1:14">
      <c r="A598" s="207"/>
      <c r="B598" s="210" t="s">
        <v>1647</v>
      </c>
      <c r="C598" s="211">
        <v>205</v>
      </c>
      <c r="D598" s="211">
        <f t="shared" si="13"/>
        <v>205</v>
      </c>
      <c r="E598" s="211">
        <v>205</v>
      </c>
      <c r="F598" s="211"/>
      <c r="G598" s="211"/>
      <c r="H598" s="211"/>
      <c r="I598" s="211"/>
      <c r="J598" s="211"/>
      <c r="K598" s="211"/>
      <c r="L598" s="211"/>
      <c r="M598" s="211"/>
      <c r="N598" s="213" t="s">
        <v>578</v>
      </c>
    </row>
    <row r="599" ht="18" customHeight="1" spans="1:14">
      <c r="A599" s="207"/>
      <c r="B599" s="210" t="s">
        <v>1648</v>
      </c>
      <c r="C599" s="211">
        <v>80</v>
      </c>
      <c r="D599" s="211">
        <f t="shared" si="13"/>
        <v>80</v>
      </c>
      <c r="E599" s="211">
        <v>80</v>
      </c>
      <c r="F599" s="211"/>
      <c r="G599" s="211"/>
      <c r="H599" s="211"/>
      <c r="I599" s="211"/>
      <c r="J599" s="211"/>
      <c r="K599" s="211"/>
      <c r="L599" s="211"/>
      <c r="M599" s="211"/>
      <c r="N599" s="213" t="s">
        <v>578</v>
      </c>
    </row>
    <row r="600" ht="18" customHeight="1" spans="1:14">
      <c r="A600" s="207"/>
      <c r="B600" s="210" t="s">
        <v>1649</v>
      </c>
      <c r="C600" s="211">
        <v>194.25</v>
      </c>
      <c r="D600" s="211">
        <f t="shared" si="13"/>
        <v>194.25</v>
      </c>
      <c r="E600" s="211">
        <v>194.25</v>
      </c>
      <c r="F600" s="211"/>
      <c r="G600" s="211"/>
      <c r="H600" s="211"/>
      <c r="I600" s="211"/>
      <c r="J600" s="211"/>
      <c r="K600" s="211"/>
      <c r="L600" s="211"/>
      <c r="M600" s="211"/>
      <c r="N600" s="213" t="s">
        <v>578</v>
      </c>
    </row>
    <row r="601" ht="18" customHeight="1" spans="1:14">
      <c r="A601" s="207"/>
      <c r="B601" s="210" t="s">
        <v>1650</v>
      </c>
      <c r="C601" s="211">
        <v>70</v>
      </c>
      <c r="D601" s="211">
        <f t="shared" si="13"/>
        <v>70</v>
      </c>
      <c r="E601" s="211">
        <v>70</v>
      </c>
      <c r="F601" s="211"/>
      <c r="G601" s="211"/>
      <c r="H601" s="211"/>
      <c r="I601" s="211"/>
      <c r="J601" s="211"/>
      <c r="K601" s="211"/>
      <c r="L601" s="211"/>
      <c r="M601" s="211"/>
      <c r="N601" s="213" t="s">
        <v>578</v>
      </c>
    </row>
    <row r="602" ht="18" customHeight="1" spans="1:14">
      <c r="A602" s="207"/>
      <c r="B602" s="210" t="s">
        <v>1651</v>
      </c>
      <c r="C602" s="211">
        <v>46</v>
      </c>
      <c r="D602" s="211">
        <f t="shared" si="13"/>
        <v>46</v>
      </c>
      <c r="E602" s="211">
        <v>46</v>
      </c>
      <c r="F602" s="211"/>
      <c r="G602" s="211"/>
      <c r="H602" s="211"/>
      <c r="I602" s="211"/>
      <c r="J602" s="211"/>
      <c r="K602" s="211"/>
      <c r="L602" s="211"/>
      <c r="M602" s="211"/>
      <c r="N602" s="213" t="s">
        <v>578</v>
      </c>
    </row>
    <row r="603" ht="18" customHeight="1" spans="1:14">
      <c r="A603" s="207"/>
      <c r="B603" s="210" t="s">
        <v>1652</v>
      </c>
      <c r="C603" s="211">
        <v>35</v>
      </c>
      <c r="D603" s="211">
        <f t="shared" si="13"/>
        <v>35</v>
      </c>
      <c r="E603" s="211">
        <v>35</v>
      </c>
      <c r="F603" s="211"/>
      <c r="G603" s="211"/>
      <c r="H603" s="211"/>
      <c r="I603" s="211"/>
      <c r="J603" s="211"/>
      <c r="K603" s="211"/>
      <c r="L603" s="211"/>
      <c r="M603" s="211"/>
      <c r="N603" s="213" t="s">
        <v>578</v>
      </c>
    </row>
    <row r="604" ht="18" customHeight="1" spans="1:14">
      <c r="A604" s="207"/>
      <c r="B604" s="210" t="s">
        <v>1653</v>
      </c>
      <c r="C604" s="211">
        <v>180</v>
      </c>
      <c r="D604" s="211">
        <f t="shared" si="13"/>
        <v>180</v>
      </c>
      <c r="E604" s="211">
        <v>180</v>
      </c>
      <c r="F604" s="211"/>
      <c r="G604" s="211"/>
      <c r="H604" s="211"/>
      <c r="I604" s="211"/>
      <c r="J604" s="211"/>
      <c r="K604" s="211"/>
      <c r="L604" s="211"/>
      <c r="M604" s="211"/>
      <c r="N604" s="213" t="s">
        <v>578</v>
      </c>
    </row>
    <row r="605" ht="18" customHeight="1" spans="1:14">
      <c r="A605" s="207"/>
      <c r="B605" s="210" t="s">
        <v>1654</v>
      </c>
      <c r="C605" s="211">
        <v>60</v>
      </c>
      <c r="D605" s="211">
        <f t="shared" si="13"/>
        <v>60</v>
      </c>
      <c r="E605" s="211">
        <v>60</v>
      </c>
      <c r="F605" s="211"/>
      <c r="G605" s="211"/>
      <c r="H605" s="211"/>
      <c r="I605" s="211"/>
      <c r="J605" s="211"/>
      <c r="K605" s="211"/>
      <c r="L605" s="211"/>
      <c r="M605" s="211"/>
      <c r="N605" s="213" t="s">
        <v>578</v>
      </c>
    </row>
    <row r="606" ht="18" customHeight="1" spans="1:14">
      <c r="A606" s="207"/>
      <c r="B606" s="210" t="s">
        <v>1655</v>
      </c>
      <c r="C606" s="211">
        <v>49.45</v>
      </c>
      <c r="D606" s="211">
        <f t="shared" si="13"/>
        <v>49.45</v>
      </c>
      <c r="E606" s="211">
        <v>49.45</v>
      </c>
      <c r="F606" s="211"/>
      <c r="G606" s="211"/>
      <c r="H606" s="211"/>
      <c r="I606" s="211"/>
      <c r="J606" s="211"/>
      <c r="K606" s="211"/>
      <c r="L606" s="211"/>
      <c r="M606" s="211"/>
      <c r="N606" s="213" t="s">
        <v>578</v>
      </c>
    </row>
    <row r="607" ht="18" customHeight="1" spans="1:14">
      <c r="A607" s="207"/>
      <c r="B607" s="210" t="s">
        <v>1656</v>
      </c>
      <c r="C607" s="211">
        <v>115</v>
      </c>
      <c r="D607" s="211">
        <f t="shared" si="13"/>
        <v>115</v>
      </c>
      <c r="E607" s="211">
        <v>115</v>
      </c>
      <c r="F607" s="211"/>
      <c r="G607" s="211"/>
      <c r="H607" s="211"/>
      <c r="I607" s="211"/>
      <c r="J607" s="211"/>
      <c r="K607" s="211"/>
      <c r="L607" s="211"/>
      <c r="M607" s="211"/>
      <c r="N607" s="213" t="s">
        <v>578</v>
      </c>
    </row>
    <row r="608" ht="18" customHeight="1" spans="1:14">
      <c r="A608" s="207"/>
      <c r="B608" s="210" t="s">
        <v>1657</v>
      </c>
      <c r="C608" s="211">
        <v>30</v>
      </c>
      <c r="D608" s="211">
        <f t="shared" si="13"/>
        <v>30</v>
      </c>
      <c r="E608" s="211">
        <v>30</v>
      </c>
      <c r="F608" s="211"/>
      <c r="G608" s="211"/>
      <c r="H608" s="211"/>
      <c r="I608" s="211"/>
      <c r="J608" s="211"/>
      <c r="K608" s="211"/>
      <c r="L608" s="211"/>
      <c r="M608" s="211"/>
      <c r="N608" s="213" t="s">
        <v>578</v>
      </c>
    </row>
    <row r="609" ht="18" customHeight="1" spans="1:14">
      <c r="A609" s="207"/>
      <c r="B609" s="210" t="s">
        <v>1658</v>
      </c>
      <c r="C609" s="211">
        <v>110</v>
      </c>
      <c r="D609" s="211">
        <f t="shared" si="13"/>
        <v>110</v>
      </c>
      <c r="E609" s="211">
        <v>110</v>
      </c>
      <c r="F609" s="211"/>
      <c r="G609" s="211"/>
      <c r="H609" s="211"/>
      <c r="I609" s="211"/>
      <c r="J609" s="211"/>
      <c r="K609" s="211"/>
      <c r="L609" s="211"/>
      <c r="M609" s="211"/>
      <c r="N609" s="213" t="s">
        <v>578</v>
      </c>
    </row>
    <row r="610" ht="18" customHeight="1" spans="1:14">
      <c r="A610" s="207"/>
      <c r="B610" s="210" t="s">
        <v>1659</v>
      </c>
      <c r="C610" s="211">
        <v>125</v>
      </c>
      <c r="D610" s="211">
        <f t="shared" si="13"/>
        <v>125</v>
      </c>
      <c r="E610" s="211">
        <v>125</v>
      </c>
      <c r="F610" s="211"/>
      <c r="G610" s="211"/>
      <c r="H610" s="211"/>
      <c r="I610" s="211"/>
      <c r="J610" s="211"/>
      <c r="K610" s="211"/>
      <c r="L610" s="211"/>
      <c r="M610" s="211"/>
      <c r="N610" s="213" t="s">
        <v>578</v>
      </c>
    </row>
    <row r="611" ht="18" customHeight="1" spans="1:14">
      <c r="A611" s="207"/>
      <c r="B611" s="210" t="s">
        <v>1660</v>
      </c>
      <c r="C611" s="211">
        <v>153</v>
      </c>
      <c r="D611" s="211">
        <f t="shared" si="13"/>
        <v>153</v>
      </c>
      <c r="E611" s="211">
        <v>153</v>
      </c>
      <c r="F611" s="211"/>
      <c r="G611" s="211"/>
      <c r="H611" s="211"/>
      <c r="I611" s="211"/>
      <c r="J611" s="211"/>
      <c r="K611" s="211"/>
      <c r="L611" s="211"/>
      <c r="M611" s="211"/>
      <c r="N611" s="213" t="s">
        <v>578</v>
      </c>
    </row>
    <row r="612" ht="18" customHeight="1" spans="1:14">
      <c r="A612" s="207"/>
      <c r="B612" s="210" t="s">
        <v>1661</v>
      </c>
      <c r="C612" s="211">
        <v>40</v>
      </c>
      <c r="D612" s="211">
        <f t="shared" si="13"/>
        <v>40</v>
      </c>
      <c r="E612" s="211">
        <v>40</v>
      </c>
      <c r="F612" s="211"/>
      <c r="G612" s="211"/>
      <c r="H612" s="211"/>
      <c r="I612" s="211"/>
      <c r="J612" s="211"/>
      <c r="K612" s="211"/>
      <c r="L612" s="211"/>
      <c r="M612" s="211"/>
      <c r="N612" s="213" t="s">
        <v>578</v>
      </c>
    </row>
    <row r="613" ht="18" customHeight="1" spans="1:14">
      <c r="A613" s="207"/>
      <c r="B613" s="210" t="s">
        <v>1662</v>
      </c>
      <c r="C613" s="211">
        <v>73</v>
      </c>
      <c r="D613" s="211">
        <f t="shared" si="13"/>
        <v>73</v>
      </c>
      <c r="E613" s="211">
        <v>73</v>
      </c>
      <c r="F613" s="211"/>
      <c r="G613" s="211"/>
      <c r="H613" s="211"/>
      <c r="I613" s="211"/>
      <c r="J613" s="211"/>
      <c r="K613" s="211"/>
      <c r="L613" s="211"/>
      <c r="M613" s="211"/>
      <c r="N613" s="213" t="s">
        <v>578</v>
      </c>
    </row>
    <row r="614" ht="18" customHeight="1" spans="1:14">
      <c r="A614" s="207"/>
      <c r="B614" s="210" t="s">
        <v>1663</v>
      </c>
      <c r="C614" s="211">
        <v>80</v>
      </c>
      <c r="D614" s="211">
        <f t="shared" si="13"/>
        <v>80</v>
      </c>
      <c r="E614" s="211">
        <v>80</v>
      </c>
      <c r="F614" s="211"/>
      <c r="G614" s="211"/>
      <c r="H614" s="211"/>
      <c r="I614" s="211"/>
      <c r="J614" s="211"/>
      <c r="K614" s="211"/>
      <c r="L614" s="211"/>
      <c r="M614" s="211"/>
      <c r="N614" s="213" t="s">
        <v>578</v>
      </c>
    </row>
    <row r="615" ht="18" customHeight="1" spans="1:14">
      <c r="A615" s="207"/>
      <c r="B615" s="210" t="s">
        <v>1664</v>
      </c>
      <c r="C615" s="211">
        <v>21</v>
      </c>
      <c r="D615" s="211">
        <f t="shared" si="13"/>
        <v>21</v>
      </c>
      <c r="E615" s="211">
        <v>21</v>
      </c>
      <c r="F615" s="211"/>
      <c r="G615" s="211"/>
      <c r="H615" s="211"/>
      <c r="I615" s="211"/>
      <c r="J615" s="211"/>
      <c r="K615" s="211"/>
      <c r="L615" s="211"/>
      <c r="M615" s="211"/>
      <c r="N615" s="213" t="s">
        <v>578</v>
      </c>
    </row>
    <row r="616" ht="18" customHeight="1" spans="1:14">
      <c r="A616" s="207"/>
      <c r="B616" s="210" t="s">
        <v>1665</v>
      </c>
      <c r="C616" s="211">
        <v>5</v>
      </c>
      <c r="D616" s="211">
        <f t="shared" si="13"/>
        <v>5</v>
      </c>
      <c r="E616" s="211">
        <v>5</v>
      </c>
      <c r="F616" s="211"/>
      <c r="G616" s="211"/>
      <c r="H616" s="211"/>
      <c r="I616" s="211"/>
      <c r="J616" s="211"/>
      <c r="K616" s="211"/>
      <c r="L616" s="211"/>
      <c r="M616" s="211"/>
      <c r="N616" s="213" t="s">
        <v>578</v>
      </c>
    </row>
    <row r="617" ht="18" customHeight="1" spans="1:14">
      <c r="A617" s="207"/>
      <c r="B617" s="210" t="s">
        <v>1666</v>
      </c>
      <c r="C617" s="211">
        <v>30</v>
      </c>
      <c r="D617" s="211">
        <f t="shared" si="13"/>
        <v>30</v>
      </c>
      <c r="E617" s="211">
        <v>30</v>
      </c>
      <c r="F617" s="211"/>
      <c r="G617" s="211"/>
      <c r="H617" s="211"/>
      <c r="I617" s="211"/>
      <c r="J617" s="211"/>
      <c r="K617" s="211"/>
      <c r="L617" s="211"/>
      <c r="M617" s="211"/>
      <c r="N617" s="213" t="s">
        <v>578</v>
      </c>
    </row>
    <row r="618" ht="18" customHeight="1" spans="1:14">
      <c r="A618" s="207"/>
      <c r="B618" s="210" t="s">
        <v>1667</v>
      </c>
      <c r="C618" s="211">
        <v>80</v>
      </c>
      <c r="D618" s="211">
        <f t="shared" si="13"/>
        <v>80</v>
      </c>
      <c r="E618" s="211">
        <v>80</v>
      </c>
      <c r="F618" s="211"/>
      <c r="G618" s="211"/>
      <c r="H618" s="211"/>
      <c r="I618" s="211"/>
      <c r="J618" s="211"/>
      <c r="K618" s="211"/>
      <c r="L618" s="211"/>
      <c r="M618" s="211"/>
      <c r="N618" s="213" t="s">
        <v>578</v>
      </c>
    </row>
    <row r="619" ht="18" customHeight="1" spans="1:14">
      <c r="A619" s="207"/>
      <c r="B619" s="210" t="s">
        <v>1668</v>
      </c>
      <c r="C619" s="211">
        <v>20</v>
      </c>
      <c r="D619" s="211">
        <f t="shared" si="13"/>
        <v>20</v>
      </c>
      <c r="E619" s="211">
        <v>20</v>
      </c>
      <c r="F619" s="211"/>
      <c r="G619" s="211"/>
      <c r="H619" s="211"/>
      <c r="I619" s="211"/>
      <c r="J619" s="211"/>
      <c r="K619" s="211"/>
      <c r="L619" s="211"/>
      <c r="M619" s="211"/>
      <c r="N619" s="213" t="s">
        <v>578</v>
      </c>
    </row>
    <row r="620" ht="18" customHeight="1" spans="1:14">
      <c r="A620" s="207"/>
      <c r="B620" s="210" t="s">
        <v>1669</v>
      </c>
      <c r="C620" s="211">
        <v>115</v>
      </c>
      <c r="D620" s="211">
        <f t="shared" si="13"/>
        <v>115</v>
      </c>
      <c r="E620" s="211">
        <v>115</v>
      </c>
      <c r="F620" s="211"/>
      <c r="G620" s="211"/>
      <c r="H620" s="211"/>
      <c r="I620" s="211"/>
      <c r="J620" s="211"/>
      <c r="K620" s="211"/>
      <c r="L620" s="211"/>
      <c r="M620" s="211"/>
      <c r="N620" s="213" t="s">
        <v>578</v>
      </c>
    </row>
    <row r="621" ht="18" customHeight="1" spans="1:14">
      <c r="A621" s="207"/>
      <c r="B621" s="210" t="s">
        <v>1670</v>
      </c>
      <c r="C621" s="211">
        <v>21.4</v>
      </c>
      <c r="D621" s="211">
        <f t="shared" si="13"/>
        <v>21.4</v>
      </c>
      <c r="E621" s="211">
        <v>21.4</v>
      </c>
      <c r="F621" s="211"/>
      <c r="G621" s="211"/>
      <c r="H621" s="211"/>
      <c r="I621" s="211"/>
      <c r="J621" s="211"/>
      <c r="K621" s="211"/>
      <c r="L621" s="211"/>
      <c r="M621" s="211"/>
      <c r="N621" s="213" t="s">
        <v>578</v>
      </c>
    </row>
    <row r="622" ht="18" customHeight="1" spans="1:14">
      <c r="A622" s="207"/>
      <c r="B622" s="210" t="s">
        <v>1671</v>
      </c>
      <c r="C622" s="211">
        <v>337</v>
      </c>
      <c r="D622" s="211">
        <f t="shared" si="13"/>
        <v>337</v>
      </c>
      <c r="E622" s="211">
        <v>337</v>
      </c>
      <c r="F622" s="211"/>
      <c r="G622" s="211"/>
      <c r="H622" s="211"/>
      <c r="I622" s="211"/>
      <c r="J622" s="211"/>
      <c r="K622" s="211"/>
      <c r="L622" s="211"/>
      <c r="M622" s="211"/>
      <c r="N622" s="213" t="s">
        <v>578</v>
      </c>
    </row>
    <row r="623" ht="18" customHeight="1" spans="1:14">
      <c r="A623" s="207"/>
      <c r="B623" s="210" t="s">
        <v>1672</v>
      </c>
      <c r="C623" s="211">
        <v>150</v>
      </c>
      <c r="D623" s="211">
        <f t="shared" si="13"/>
        <v>150</v>
      </c>
      <c r="E623" s="211">
        <v>150</v>
      </c>
      <c r="F623" s="211"/>
      <c r="G623" s="211"/>
      <c r="H623" s="211"/>
      <c r="I623" s="211"/>
      <c r="J623" s="211"/>
      <c r="K623" s="211"/>
      <c r="L623" s="211"/>
      <c r="M623" s="211"/>
      <c r="N623" s="213" t="s">
        <v>578</v>
      </c>
    </row>
    <row r="624" ht="18" customHeight="1" spans="1:14">
      <c r="A624" s="207"/>
      <c r="B624" s="210" t="s">
        <v>1673</v>
      </c>
      <c r="C624" s="211">
        <v>50</v>
      </c>
      <c r="D624" s="211">
        <f t="shared" si="13"/>
        <v>50</v>
      </c>
      <c r="E624" s="211">
        <v>50</v>
      </c>
      <c r="F624" s="211"/>
      <c r="G624" s="211"/>
      <c r="H624" s="211"/>
      <c r="I624" s="211"/>
      <c r="J624" s="211"/>
      <c r="K624" s="211"/>
      <c r="L624" s="211"/>
      <c r="M624" s="211"/>
      <c r="N624" s="213" t="s">
        <v>578</v>
      </c>
    </row>
    <row r="625" ht="18" customHeight="1" spans="1:14">
      <c r="A625" s="207"/>
      <c r="B625" s="210" t="s">
        <v>1674</v>
      </c>
      <c r="C625" s="211">
        <v>100</v>
      </c>
      <c r="D625" s="211">
        <f t="shared" si="13"/>
        <v>100</v>
      </c>
      <c r="E625" s="211">
        <v>100</v>
      </c>
      <c r="F625" s="211"/>
      <c r="G625" s="211"/>
      <c r="H625" s="211"/>
      <c r="I625" s="211"/>
      <c r="J625" s="211"/>
      <c r="K625" s="211"/>
      <c r="L625" s="211"/>
      <c r="M625" s="211"/>
      <c r="N625" s="213" t="s">
        <v>578</v>
      </c>
    </row>
    <row r="626" ht="18" customHeight="1" spans="1:14">
      <c r="A626" s="207">
        <v>402005</v>
      </c>
      <c r="B626" s="214" t="s">
        <v>722</v>
      </c>
      <c r="C626" s="205">
        <v>50</v>
      </c>
      <c r="D626" s="205">
        <f t="shared" si="13"/>
        <v>50</v>
      </c>
      <c r="E626" s="205">
        <v>50</v>
      </c>
      <c r="F626" s="205"/>
      <c r="G626" s="205"/>
      <c r="H626" s="205"/>
      <c r="I626" s="205"/>
      <c r="J626" s="205"/>
      <c r="K626" s="205"/>
      <c r="L626" s="205"/>
      <c r="M626" s="205"/>
      <c r="N626" s="213" t="s">
        <v>578</v>
      </c>
    </row>
    <row r="627" ht="18" customHeight="1" spans="1:14">
      <c r="A627" s="207"/>
      <c r="B627" s="210" t="s">
        <v>1675</v>
      </c>
      <c r="C627" s="211">
        <v>50</v>
      </c>
      <c r="D627" s="211">
        <f t="shared" si="13"/>
        <v>50</v>
      </c>
      <c r="E627" s="211">
        <v>50</v>
      </c>
      <c r="F627" s="211"/>
      <c r="G627" s="211"/>
      <c r="H627" s="211"/>
      <c r="I627" s="211"/>
      <c r="J627" s="211"/>
      <c r="K627" s="211"/>
      <c r="L627" s="211"/>
      <c r="M627" s="211"/>
      <c r="N627" s="213" t="s">
        <v>578</v>
      </c>
    </row>
    <row r="628" ht="18" customHeight="1" spans="1:14">
      <c r="A628" s="207">
        <v>402006</v>
      </c>
      <c r="B628" s="214" t="s">
        <v>724</v>
      </c>
      <c r="C628" s="205">
        <v>175.39</v>
      </c>
      <c r="D628" s="205">
        <f t="shared" si="13"/>
        <v>175.39</v>
      </c>
      <c r="E628" s="205">
        <v>175.39</v>
      </c>
      <c r="F628" s="205"/>
      <c r="G628" s="205"/>
      <c r="H628" s="205"/>
      <c r="I628" s="205"/>
      <c r="J628" s="205"/>
      <c r="K628" s="205"/>
      <c r="L628" s="205"/>
      <c r="M628" s="205"/>
      <c r="N628" s="213" t="s">
        <v>578</v>
      </c>
    </row>
    <row r="629" ht="18" customHeight="1" spans="1:14">
      <c r="A629" s="207"/>
      <c r="B629" s="210" t="s">
        <v>1676</v>
      </c>
      <c r="C629" s="211">
        <v>175.39</v>
      </c>
      <c r="D629" s="211">
        <f t="shared" si="13"/>
        <v>175.39</v>
      </c>
      <c r="E629" s="211">
        <v>175.39</v>
      </c>
      <c r="F629" s="211"/>
      <c r="G629" s="211"/>
      <c r="H629" s="211"/>
      <c r="I629" s="211"/>
      <c r="J629" s="211"/>
      <c r="K629" s="211"/>
      <c r="L629" s="211"/>
      <c r="M629" s="211"/>
      <c r="N629" s="213" t="s">
        <v>578</v>
      </c>
    </row>
    <row r="630" ht="18" customHeight="1" spans="1:14">
      <c r="A630" s="207"/>
      <c r="B630" s="204" t="s">
        <v>727</v>
      </c>
      <c r="C630" s="205">
        <v>3450.5</v>
      </c>
      <c r="D630" s="205">
        <v>3450.5</v>
      </c>
      <c r="E630" s="205">
        <v>3450.5</v>
      </c>
      <c r="F630" s="205"/>
      <c r="G630" s="205"/>
      <c r="H630" s="205"/>
      <c r="I630" s="205"/>
      <c r="J630" s="205">
        <v>0</v>
      </c>
      <c r="K630" s="205">
        <v>0</v>
      </c>
      <c r="L630" s="205">
        <v>0</v>
      </c>
      <c r="M630" s="205"/>
      <c r="N630" s="213" t="s">
        <v>578</v>
      </c>
    </row>
    <row r="631" ht="18" customHeight="1" spans="1:14">
      <c r="A631" s="207">
        <v>501001</v>
      </c>
      <c r="B631" s="204" t="s">
        <v>728</v>
      </c>
      <c r="C631" s="205">
        <v>55.5</v>
      </c>
      <c r="D631" s="205">
        <f t="shared" ref="D631:D658" si="14">E631+F631</f>
        <v>55.5</v>
      </c>
      <c r="E631" s="205">
        <v>55.5</v>
      </c>
      <c r="F631" s="205"/>
      <c r="G631" s="205"/>
      <c r="H631" s="205"/>
      <c r="I631" s="205"/>
      <c r="J631" s="205"/>
      <c r="K631" s="205"/>
      <c r="L631" s="205"/>
      <c r="M631" s="205"/>
      <c r="N631" s="213" t="s">
        <v>578</v>
      </c>
    </row>
    <row r="632" ht="18" customHeight="1" spans="1:14">
      <c r="A632" s="207"/>
      <c r="B632" s="210" t="s">
        <v>1677</v>
      </c>
      <c r="C632" s="211">
        <v>10.5</v>
      </c>
      <c r="D632" s="211">
        <f t="shared" si="14"/>
        <v>10.5</v>
      </c>
      <c r="E632" s="211">
        <v>10.5</v>
      </c>
      <c r="F632" s="211"/>
      <c r="G632" s="211"/>
      <c r="H632" s="211"/>
      <c r="I632" s="211"/>
      <c r="J632" s="211"/>
      <c r="K632" s="211"/>
      <c r="L632" s="211"/>
      <c r="M632" s="211"/>
      <c r="N632" s="213" t="s">
        <v>578</v>
      </c>
    </row>
    <row r="633" ht="18" customHeight="1" spans="1:14">
      <c r="A633" s="207"/>
      <c r="B633" s="210" t="s">
        <v>1678</v>
      </c>
      <c r="C633" s="211">
        <v>18</v>
      </c>
      <c r="D633" s="211">
        <f t="shared" si="14"/>
        <v>18</v>
      </c>
      <c r="E633" s="211">
        <v>18</v>
      </c>
      <c r="F633" s="211"/>
      <c r="G633" s="211"/>
      <c r="H633" s="211"/>
      <c r="I633" s="211"/>
      <c r="J633" s="211"/>
      <c r="K633" s="211"/>
      <c r="L633" s="211"/>
      <c r="M633" s="211"/>
      <c r="N633" s="213" t="s">
        <v>578</v>
      </c>
    </row>
    <row r="634" ht="18" customHeight="1" spans="1:14">
      <c r="A634" s="207"/>
      <c r="B634" s="210" t="s">
        <v>1679</v>
      </c>
      <c r="C634" s="211">
        <v>20</v>
      </c>
      <c r="D634" s="211">
        <f t="shared" si="14"/>
        <v>20</v>
      </c>
      <c r="E634" s="211">
        <v>20</v>
      </c>
      <c r="F634" s="211"/>
      <c r="G634" s="211"/>
      <c r="H634" s="211"/>
      <c r="I634" s="211"/>
      <c r="J634" s="211"/>
      <c r="K634" s="211"/>
      <c r="L634" s="211"/>
      <c r="M634" s="211"/>
      <c r="N634" s="213" t="s">
        <v>578</v>
      </c>
    </row>
    <row r="635" ht="18" customHeight="1" spans="1:14">
      <c r="A635" s="207"/>
      <c r="B635" s="210" t="s">
        <v>1680</v>
      </c>
      <c r="C635" s="211">
        <v>7</v>
      </c>
      <c r="D635" s="211">
        <f t="shared" si="14"/>
        <v>7</v>
      </c>
      <c r="E635" s="211">
        <v>7</v>
      </c>
      <c r="F635" s="211"/>
      <c r="G635" s="211"/>
      <c r="H635" s="211"/>
      <c r="I635" s="211"/>
      <c r="J635" s="211"/>
      <c r="K635" s="211"/>
      <c r="L635" s="211"/>
      <c r="M635" s="211"/>
      <c r="N635" s="213" t="s">
        <v>578</v>
      </c>
    </row>
    <row r="636" ht="18" customHeight="1" spans="1:14">
      <c r="A636" s="207">
        <v>501002</v>
      </c>
      <c r="B636" s="204" t="s">
        <v>729</v>
      </c>
      <c r="C636" s="205">
        <v>6</v>
      </c>
      <c r="D636" s="205">
        <f t="shared" si="14"/>
        <v>6</v>
      </c>
      <c r="E636" s="205">
        <v>6</v>
      </c>
      <c r="F636" s="205"/>
      <c r="G636" s="205"/>
      <c r="H636" s="205"/>
      <c r="I636" s="205"/>
      <c r="J636" s="205"/>
      <c r="K636" s="205"/>
      <c r="L636" s="205"/>
      <c r="M636" s="205"/>
      <c r="N636" s="213" t="s">
        <v>578</v>
      </c>
    </row>
    <row r="637" ht="18" customHeight="1" spans="1:14">
      <c r="A637" s="207"/>
      <c r="B637" s="210" t="s">
        <v>1681</v>
      </c>
      <c r="C637" s="211">
        <v>6</v>
      </c>
      <c r="D637" s="211">
        <f t="shared" si="14"/>
        <v>6</v>
      </c>
      <c r="E637" s="211">
        <v>6</v>
      </c>
      <c r="F637" s="211"/>
      <c r="G637" s="211"/>
      <c r="H637" s="211"/>
      <c r="I637" s="211"/>
      <c r="J637" s="211"/>
      <c r="K637" s="211"/>
      <c r="L637" s="211"/>
      <c r="M637" s="211"/>
      <c r="N637" s="213" t="s">
        <v>578</v>
      </c>
    </row>
    <row r="638" ht="18" customHeight="1" spans="1:14">
      <c r="A638" s="207">
        <v>502001</v>
      </c>
      <c r="B638" s="204" t="s">
        <v>731</v>
      </c>
      <c r="C638" s="205">
        <v>13</v>
      </c>
      <c r="D638" s="205">
        <f t="shared" si="14"/>
        <v>13</v>
      </c>
      <c r="E638" s="205">
        <v>13</v>
      </c>
      <c r="F638" s="205"/>
      <c r="G638" s="205"/>
      <c r="H638" s="205"/>
      <c r="I638" s="205"/>
      <c r="J638" s="205"/>
      <c r="K638" s="205"/>
      <c r="L638" s="205"/>
      <c r="M638" s="205"/>
      <c r="N638" s="213" t="s">
        <v>578</v>
      </c>
    </row>
    <row r="639" ht="18" customHeight="1" spans="1:14">
      <c r="A639" s="207"/>
      <c r="B639" s="210" t="s">
        <v>1682</v>
      </c>
      <c r="C639" s="211">
        <v>5</v>
      </c>
      <c r="D639" s="211">
        <f t="shared" si="14"/>
        <v>5</v>
      </c>
      <c r="E639" s="211">
        <v>5</v>
      </c>
      <c r="F639" s="211"/>
      <c r="G639" s="211"/>
      <c r="H639" s="211"/>
      <c r="I639" s="211"/>
      <c r="J639" s="211"/>
      <c r="K639" s="211"/>
      <c r="L639" s="211"/>
      <c r="M639" s="211"/>
      <c r="N639" s="213" t="s">
        <v>578</v>
      </c>
    </row>
    <row r="640" ht="18" customHeight="1" spans="1:14">
      <c r="A640" s="207"/>
      <c r="B640" s="210" t="s">
        <v>1683</v>
      </c>
      <c r="C640" s="211">
        <v>8</v>
      </c>
      <c r="D640" s="211">
        <f t="shared" si="14"/>
        <v>8</v>
      </c>
      <c r="E640" s="211">
        <v>8</v>
      </c>
      <c r="F640" s="211"/>
      <c r="G640" s="211"/>
      <c r="H640" s="211"/>
      <c r="I640" s="211"/>
      <c r="J640" s="211"/>
      <c r="K640" s="211"/>
      <c r="L640" s="211"/>
      <c r="M640" s="211"/>
      <c r="N640" s="213" t="s">
        <v>578</v>
      </c>
    </row>
    <row r="641" ht="18" customHeight="1" spans="1:14">
      <c r="A641" s="207">
        <v>503001</v>
      </c>
      <c r="B641" s="204" t="s">
        <v>732</v>
      </c>
      <c r="C641" s="205">
        <v>456</v>
      </c>
      <c r="D641" s="205">
        <f t="shared" si="14"/>
        <v>456</v>
      </c>
      <c r="E641" s="205">
        <v>456</v>
      </c>
      <c r="F641" s="205"/>
      <c r="G641" s="205"/>
      <c r="H641" s="205"/>
      <c r="I641" s="205"/>
      <c r="J641" s="205"/>
      <c r="K641" s="205"/>
      <c r="L641" s="205"/>
      <c r="M641" s="205"/>
      <c r="N641" s="213" t="s">
        <v>578</v>
      </c>
    </row>
    <row r="642" ht="18" customHeight="1" spans="1:14">
      <c r="A642" s="207"/>
      <c r="B642" s="210" t="s">
        <v>1684</v>
      </c>
      <c r="C642" s="211">
        <v>336</v>
      </c>
      <c r="D642" s="211">
        <f t="shared" si="14"/>
        <v>336</v>
      </c>
      <c r="E642" s="211">
        <v>336</v>
      </c>
      <c r="F642" s="211"/>
      <c r="G642" s="211"/>
      <c r="H642" s="211"/>
      <c r="I642" s="211"/>
      <c r="J642" s="211"/>
      <c r="K642" s="211"/>
      <c r="L642" s="211"/>
      <c r="M642" s="211"/>
      <c r="N642" s="213" t="s">
        <v>578</v>
      </c>
    </row>
    <row r="643" ht="18" customHeight="1" spans="1:14">
      <c r="A643" s="207"/>
      <c r="B643" s="210" t="s">
        <v>1685</v>
      </c>
      <c r="C643" s="211">
        <v>120</v>
      </c>
      <c r="D643" s="211">
        <f t="shared" si="14"/>
        <v>120</v>
      </c>
      <c r="E643" s="211">
        <v>120</v>
      </c>
      <c r="F643" s="211"/>
      <c r="G643" s="211"/>
      <c r="H643" s="211"/>
      <c r="I643" s="211"/>
      <c r="J643" s="211"/>
      <c r="K643" s="211"/>
      <c r="L643" s="211"/>
      <c r="M643" s="211"/>
      <c r="N643" s="213" t="s">
        <v>578</v>
      </c>
    </row>
    <row r="644" ht="18" customHeight="1" spans="1:14">
      <c r="A644" s="207">
        <v>504001</v>
      </c>
      <c r="B644" s="204" t="s">
        <v>733</v>
      </c>
      <c r="C644" s="205">
        <v>335</v>
      </c>
      <c r="D644" s="205">
        <f t="shared" si="14"/>
        <v>335</v>
      </c>
      <c r="E644" s="205">
        <v>335</v>
      </c>
      <c r="F644" s="205"/>
      <c r="G644" s="205"/>
      <c r="H644" s="205"/>
      <c r="I644" s="205"/>
      <c r="J644" s="205"/>
      <c r="K644" s="205"/>
      <c r="L644" s="205"/>
      <c r="M644" s="205"/>
      <c r="N644" s="213" t="s">
        <v>578</v>
      </c>
    </row>
    <row r="645" ht="18" customHeight="1" spans="1:14">
      <c r="A645" s="207"/>
      <c r="B645" s="210" t="s">
        <v>1686</v>
      </c>
      <c r="C645" s="211">
        <v>35</v>
      </c>
      <c r="D645" s="211">
        <f t="shared" si="14"/>
        <v>35</v>
      </c>
      <c r="E645" s="211">
        <v>35</v>
      </c>
      <c r="F645" s="211"/>
      <c r="G645" s="211"/>
      <c r="H645" s="211"/>
      <c r="I645" s="211"/>
      <c r="J645" s="211"/>
      <c r="K645" s="211"/>
      <c r="L645" s="211"/>
      <c r="M645" s="211"/>
      <c r="N645" s="213" t="s">
        <v>578</v>
      </c>
    </row>
    <row r="646" ht="18" customHeight="1" spans="1:14">
      <c r="A646" s="207"/>
      <c r="B646" s="210" t="s">
        <v>1687</v>
      </c>
      <c r="C646" s="211">
        <v>300</v>
      </c>
      <c r="D646" s="211">
        <f t="shared" si="14"/>
        <v>300</v>
      </c>
      <c r="E646" s="211">
        <v>300</v>
      </c>
      <c r="F646" s="211"/>
      <c r="G646" s="211"/>
      <c r="H646" s="211"/>
      <c r="I646" s="211"/>
      <c r="J646" s="211"/>
      <c r="K646" s="211"/>
      <c r="L646" s="211"/>
      <c r="M646" s="211"/>
      <c r="N646" s="213" t="s">
        <v>578</v>
      </c>
    </row>
    <row r="647" ht="18" customHeight="1" spans="1:14">
      <c r="A647" s="207">
        <v>505001</v>
      </c>
      <c r="B647" s="204" t="s">
        <v>734</v>
      </c>
      <c r="C647" s="205">
        <v>2564</v>
      </c>
      <c r="D647" s="205">
        <f t="shared" si="14"/>
        <v>2564</v>
      </c>
      <c r="E647" s="205">
        <v>2564</v>
      </c>
      <c r="F647" s="205"/>
      <c r="G647" s="205"/>
      <c r="H647" s="205"/>
      <c r="I647" s="205"/>
      <c r="J647" s="205"/>
      <c r="K647" s="205"/>
      <c r="L647" s="205"/>
      <c r="M647" s="205"/>
      <c r="N647" s="213" t="s">
        <v>578</v>
      </c>
    </row>
    <row r="648" ht="18" customHeight="1" spans="1:14">
      <c r="A648" s="207"/>
      <c r="B648" s="210" t="s">
        <v>1688</v>
      </c>
      <c r="C648" s="211">
        <v>5</v>
      </c>
      <c r="D648" s="211">
        <f t="shared" si="14"/>
        <v>5</v>
      </c>
      <c r="E648" s="211">
        <v>5</v>
      </c>
      <c r="F648" s="211"/>
      <c r="G648" s="211"/>
      <c r="H648" s="211"/>
      <c r="I648" s="211"/>
      <c r="J648" s="211"/>
      <c r="K648" s="211"/>
      <c r="L648" s="211"/>
      <c r="M648" s="211"/>
      <c r="N648" s="213" t="s">
        <v>578</v>
      </c>
    </row>
    <row r="649" ht="18" customHeight="1" spans="1:14">
      <c r="A649" s="207"/>
      <c r="B649" s="210" t="s">
        <v>1689</v>
      </c>
      <c r="C649" s="211">
        <v>7</v>
      </c>
      <c r="D649" s="211">
        <f t="shared" si="14"/>
        <v>7</v>
      </c>
      <c r="E649" s="211">
        <v>7</v>
      </c>
      <c r="F649" s="211"/>
      <c r="G649" s="211"/>
      <c r="H649" s="211"/>
      <c r="I649" s="211"/>
      <c r="J649" s="211"/>
      <c r="K649" s="211"/>
      <c r="L649" s="211"/>
      <c r="M649" s="211"/>
      <c r="N649" s="213" t="s">
        <v>578</v>
      </c>
    </row>
    <row r="650" ht="18" customHeight="1" spans="1:14">
      <c r="A650" s="207"/>
      <c r="B650" s="210" t="s">
        <v>1690</v>
      </c>
      <c r="C650" s="211">
        <v>4.5</v>
      </c>
      <c r="D650" s="211">
        <f t="shared" si="14"/>
        <v>4.5</v>
      </c>
      <c r="E650" s="211">
        <v>4.5</v>
      </c>
      <c r="F650" s="211"/>
      <c r="G650" s="211"/>
      <c r="H650" s="211"/>
      <c r="I650" s="211"/>
      <c r="J650" s="211"/>
      <c r="K650" s="211"/>
      <c r="L650" s="211"/>
      <c r="M650" s="211"/>
      <c r="N650" s="213" t="s">
        <v>578</v>
      </c>
    </row>
    <row r="651" ht="18" customHeight="1" spans="1:14">
      <c r="A651" s="207"/>
      <c r="B651" s="210" t="s">
        <v>1691</v>
      </c>
      <c r="C651" s="211">
        <v>2500</v>
      </c>
      <c r="D651" s="211">
        <f t="shared" si="14"/>
        <v>2500</v>
      </c>
      <c r="E651" s="211">
        <v>2500</v>
      </c>
      <c r="F651" s="211"/>
      <c r="G651" s="211"/>
      <c r="H651" s="211"/>
      <c r="I651" s="211"/>
      <c r="J651" s="211"/>
      <c r="K651" s="211"/>
      <c r="L651" s="211"/>
      <c r="M651" s="211"/>
      <c r="N651" s="213" t="s">
        <v>578</v>
      </c>
    </row>
    <row r="652" ht="18" customHeight="1" spans="1:14">
      <c r="A652" s="207"/>
      <c r="B652" s="210" t="s">
        <v>1692</v>
      </c>
      <c r="C652" s="211">
        <v>30</v>
      </c>
      <c r="D652" s="211">
        <f t="shared" si="14"/>
        <v>30</v>
      </c>
      <c r="E652" s="211">
        <v>30</v>
      </c>
      <c r="F652" s="211"/>
      <c r="G652" s="211"/>
      <c r="H652" s="211"/>
      <c r="I652" s="211"/>
      <c r="J652" s="211"/>
      <c r="K652" s="211"/>
      <c r="L652" s="211"/>
      <c r="M652" s="211"/>
      <c r="N652" s="213" t="s">
        <v>578</v>
      </c>
    </row>
    <row r="653" ht="18" customHeight="1" spans="1:14">
      <c r="A653" s="207"/>
      <c r="B653" s="210" t="s">
        <v>1693</v>
      </c>
      <c r="C653" s="211">
        <v>7.5</v>
      </c>
      <c r="D653" s="211">
        <f t="shared" si="14"/>
        <v>7.5</v>
      </c>
      <c r="E653" s="211">
        <v>7.5</v>
      </c>
      <c r="F653" s="211"/>
      <c r="G653" s="211"/>
      <c r="H653" s="211"/>
      <c r="I653" s="211"/>
      <c r="J653" s="211"/>
      <c r="K653" s="211"/>
      <c r="L653" s="211"/>
      <c r="M653" s="211"/>
      <c r="N653" s="213" t="s">
        <v>578</v>
      </c>
    </row>
    <row r="654" ht="18" customHeight="1" spans="1:14">
      <c r="A654" s="207"/>
      <c r="B654" s="210" t="s">
        <v>1694</v>
      </c>
      <c r="C654" s="211">
        <v>10</v>
      </c>
      <c r="D654" s="211">
        <f t="shared" si="14"/>
        <v>10</v>
      </c>
      <c r="E654" s="211">
        <v>10</v>
      </c>
      <c r="F654" s="211"/>
      <c r="G654" s="211"/>
      <c r="H654" s="211"/>
      <c r="I654" s="211"/>
      <c r="J654" s="211"/>
      <c r="K654" s="211"/>
      <c r="L654" s="211"/>
      <c r="M654" s="211"/>
      <c r="N654" s="213" t="s">
        <v>578</v>
      </c>
    </row>
    <row r="655" ht="18" customHeight="1" spans="1:14">
      <c r="A655" s="207">
        <v>505002</v>
      </c>
      <c r="B655" s="204" t="s">
        <v>735</v>
      </c>
      <c r="C655" s="205">
        <v>21</v>
      </c>
      <c r="D655" s="205">
        <f t="shared" si="14"/>
        <v>21</v>
      </c>
      <c r="E655" s="205">
        <v>21</v>
      </c>
      <c r="F655" s="205"/>
      <c r="G655" s="205"/>
      <c r="H655" s="205"/>
      <c r="I655" s="205"/>
      <c r="J655" s="205"/>
      <c r="K655" s="205"/>
      <c r="L655" s="205"/>
      <c r="M655" s="205"/>
      <c r="N655" s="213" t="s">
        <v>578</v>
      </c>
    </row>
    <row r="656" ht="18" customHeight="1" spans="1:14">
      <c r="A656" s="207"/>
      <c r="B656" s="210" t="s">
        <v>1695</v>
      </c>
      <c r="C656" s="211">
        <v>11</v>
      </c>
      <c r="D656" s="211">
        <f t="shared" si="14"/>
        <v>11</v>
      </c>
      <c r="E656" s="211">
        <v>11</v>
      </c>
      <c r="F656" s="211"/>
      <c r="G656" s="211"/>
      <c r="H656" s="211"/>
      <c r="I656" s="211"/>
      <c r="J656" s="211"/>
      <c r="K656" s="211"/>
      <c r="L656" s="211"/>
      <c r="M656" s="211"/>
      <c r="N656" s="213" t="s">
        <v>578</v>
      </c>
    </row>
    <row r="657" ht="18" customHeight="1" spans="1:14">
      <c r="A657" s="207"/>
      <c r="B657" s="210" t="s">
        <v>1696</v>
      </c>
      <c r="C657" s="211">
        <v>3</v>
      </c>
      <c r="D657" s="211">
        <f t="shared" si="14"/>
        <v>3</v>
      </c>
      <c r="E657" s="211">
        <v>3</v>
      </c>
      <c r="F657" s="211"/>
      <c r="G657" s="211"/>
      <c r="H657" s="211"/>
      <c r="I657" s="211"/>
      <c r="J657" s="211"/>
      <c r="K657" s="211"/>
      <c r="L657" s="211"/>
      <c r="M657" s="211"/>
      <c r="N657" s="213" t="s">
        <v>578</v>
      </c>
    </row>
    <row r="658" ht="18" customHeight="1" spans="1:14">
      <c r="A658" s="207"/>
      <c r="B658" s="210" t="s">
        <v>1697</v>
      </c>
      <c r="C658" s="211">
        <v>7</v>
      </c>
      <c r="D658" s="211">
        <f t="shared" si="14"/>
        <v>7</v>
      </c>
      <c r="E658" s="211">
        <v>7</v>
      </c>
      <c r="F658" s="211"/>
      <c r="G658" s="211"/>
      <c r="H658" s="211"/>
      <c r="I658" s="211"/>
      <c r="J658" s="211"/>
      <c r="K658" s="211"/>
      <c r="L658" s="211"/>
      <c r="M658" s="211"/>
      <c r="N658" s="213" t="s">
        <v>578</v>
      </c>
    </row>
    <row r="659" ht="18" customHeight="1" spans="1:14">
      <c r="A659" s="207"/>
      <c r="B659" s="204" t="s">
        <v>736</v>
      </c>
      <c r="C659" s="205">
        <v>9978.704167</v>
      </c>
      <c r="D659" s="205">
        <v>9628.704167</v>
      </c>
      <c r="E659" s="205">
        <v>8299.854167</v>
      </c>
      <c r="F659" s="205">
        <v>1328.85</v>
      </c>
      <c r="G659" s="205">
        <v>350</v>
      </c>
      <c r="H659" s="205"/>
      <c r="I659" s="205"/>
      <c r="J659" s="205">
        <v>0</v>
      </c>
      <c r="K659" s="205">
        <v>0</v>
      </c>
      <c r="L659" s="205">
        <v>0</v>
      </c>
      <c r="M659" s="205"/>
      <c r="N659" s="213" t="s">
        <v>578</v>
      </c>
    </row>
    <row r="660" ht="18" customHeight="1" spans="1:14">
      <c r="A660" s="207">
        <v>602001</v>
      </c>
      <c r="B660" s="204" t="s">
        <v>738</v>
      </c>
      <c r="C660" s="205">
        <v>1604.5</v>
      </c>
      <c r="D660" s="205">
        <f t="shared" ref="D660:D723" si="15">E660+F660</f>
        <v>1604.5</v>
      </c>
      <c r="E660" s="205">
        <v>1604.5</v>
      </c>
      <c r="F660" s="205"/>
      <c r="G660" s="205"/>
      <c r="H660" s="205"/>
      <c r="I660" s="205"/>
      <c r="J660" s="205"/>
      <c r="K660" s="205"/>
      <c r="L660" s="205"/>
      <c r="M660" s="205"/>
      <c r="N660" s="213" t="s">
        <v>578</v>
      </c>
    </row>
    <row r="661" ht="18" customHeight="1" spans="1:14">
      <c r="A661" s="207"/>
      <c r="B661" s="210" t="s">
        <v>1698</v>
      </c>
      <c r="C661" s="211">
        <v>15</v>
      </c>
      <c r="D661" s="211">
        <f t="shared" si="15"/>
        <v>15</v>
      </c>
      <c r="E661" s="211">
        <v>15</v>
      </c>
      <c r="F661" s="211"/>
      <c r="G661" s="211"/>
      <c r="H661" s="211"/>
      <c r="I661" s="211"/>
      <c r="J661" s="211"/>
      <c r="K661" s="211"/>
      <c r="L661" s="211"/>
      <c r="M661" s="211"/>
      <c r="N661" s="213" t="s">
        <v>578</v>
      </c>
    </row>
    <row r="662" ht="18" customHeight="1" spans="1:14">
      <c r="A662" s="207"/>
      <c r="B662" s="210" t="s">
        <v>1699</v>
      </c>
      <c r="C662" s="211">
        <v>584</v>
      </c>
      <c r="D662" s="211">
        <f t="shared" si="15"/>
        <v>584</v>
      </c>
      <c r="E662" s="211">
        <v>584</v>
      </c>
      <c r="F662" s="211"/>
      <c r="G662" s="211"/>
      <c r="H662" s="211"/>
      <c r="I662" s="211"/>
      <c r="J662" s="211"/>
      <c r="K662" s="211"/>
      <c r="L662" s="211"/>
      <c r="M662" s="211"/>
      <c r="N662" s="213" t="s">
        <v>578</v>
      </c>
    </row>
    <row r="663" ht="18" customHeight="1" spans="1:14">
      <c r="A663" s="207"/>
      <c r="B663" s="210" t="s">
        <v>1700</v>
      </c>
      <c r="C663" s="211">
        <v>650</v>
      </c>
      <c r="D663" s="211">
        <f t="shared" si="15"/>
        <v>650</v>
      </c>
      <c r="E663" s="211">
        <v>650</v>
      </c>
      <c r="F663" s="211"/>
      <c r="G663" s="211"/>
      <c r="H663" s="211"/>
      <c r="I663" s="211"/>
      <c r="J663" s="211"/>
      <c r="K663" s="211"/>
      <c r="L663" s="211"/>
      <c r="M663" s="211"/>
      <c r="N663" s="213" t="s">
        <v>578</v>
      </c>
    </row>
    <row r="664" ht="18" customHeight="1" spans="1:14">
      <c r="A664" s="207"/>
      <c r="B664" s="210" t="s">
        <v>1701</v>
      </c>
      <c r="C664" s="211">
        <v>10</v>
      </c>
      <c r="D664" s="211">
        <f t="shared" si="15"/>
        <v>10</v>
      </c>
      <c r="E664" s="211">
        <v>10</v>
      </c>
      <c r="F664" s="211"/>
      <c r="G664" s="211"/>
      <c r="H664" s="211"/>
      <c r="I664" s="211"/>
      <c r="J664" s="211"/>
      <c r="K664" s="211"/>
      <c r="L664" s="211"/>
      <c r="M664" s="211"/>
      <c r="N664" s="213" t="s">
        <v>578</v>
      </c>
    </row>
    <row r="665" ht="18" customHeight="1" spans="1:14">
      <c r="A665" s="207"/>
      <c r="B665" s="210" t="s">
        <v>1702</v>
      </c>
      <c r="C665" s="211">
        <v>40</v>
      </c>
      <c r="D665" s="211">
        <f t="shared" si="15"/>
        <v>40</v>
      </c>
      <c r="E665" s="211">
        <v>40</v>
      </c>
      <c r="F665" s="211"/>
      <c r="G665" s="211"/>
      <c r="H665" s="211"/>
      <c r="I665" s="211"/>
      <c r="J665" s="211"/>
      <c r="K665" s="211"/>
      <c r="L665" s="211"/>
      <c r="M665" s="211"/>
      <c r="N665" s="213" t="s">
        <v>578</v>
      </c>
    </row>
    <row r="666" ht="18" customHeight="1" spans="1:14">
      <c r="A666" s="207"/>
      <c r="B666" s="210" t="s">
        <v>1703</v>
      </c>
      <c r="C666" s="211">
        <v>17.5</v>
      </c>
      <c r="D666" s="211">
        <f t="shared" si="15"/>
        <v>17.5</v>
      </c>
      <c r="E666" s="211">
        <v>17.5</v>
      </c>
      <c r="F666" s="211"/>
      <c r="G666" s="211"/>
      <c r="H666" s="211"/>
      <c r="I666" s="211"/>
      <c r="J666" s="211"/>
      <c r="K666" s="211"/>
      <c r="L666" s="211"/>
      <c r="M666" s="211"/>
      <c r="N666" s="213" t="s">
        <v>578</v>
      </c>
    </row>
    <row r="667" ht="18" customHeight="1" spans="1:14">
      <c r="A667" s="207"/>
      <c r="B667" s="210" t="s">
        <v>1704</v>
      </c>
      <c r="C667" s="211">
        <v>92</v>
      </c>
      <c r="D667" s="211">
        <f t="shared" si="15"/>
        <v>92</v>
      </c>
      <c r="E667" s="211">
        <v>92</v>
      </c>
      <c r="F667" s="211"/>
      <c r="G667" s="211"/>
      <c r="H667" s="211"/>
      <c r="I667" s="211"/>
      <c r="J667" s="211"/>
      <c r="K667" s="211"/>
      <c r="L667" s="211"/>
      <c r="M667" s="211"/>
      <c r="N667" s="213" t="s">
        <v>578</v>
      </c>
    </row>
    <row r="668" ht="18" customHeight="1" spans="1:14">
      <c r="A668" s="207"/>
      <c r="B668" s="210" t="s">
        <v>1705</v>
      </c>
      <c r="C668" s="211">
        <v>6</v>
      </c>
      <c r="D668" s="211">
        <f t="shared" si="15"/>
        <v>6</v>
      </c>
      <c r="E668" s="211">
        <v>6</v>
      </c>
      <c r="F668" s="211"/>
      <c r="G668" s="211"/>
      <c r="H668" s="211"/>
      <c r="I668" s="211"/>
      <c r="J668" s="211"/>
      <c r="K668" s="211"/>
      <c r="L668" s="211"/>
      <c r="M668" s="211"/>
      <c r="N668" s="213" t="s">
        <v>578</v>
      </c>
    </row>
    <row r="669" ht="18" customHeight="1" spans="1:14">
      <c r="A669" s="207"/>
      <c r="B669" s="210" t="s">
        <v>1706</v>
      </c>
      <c r="C669" s="211">
        <v>15</v>
      </c>
      <c r="D669" s="211">
        <f t="shared" si="15"/>
        <v>15</v>
      </c>
      <c r="E669" s="211">
        <v>15</v>
      </c>
      <c r="F669" s="211"/>
      <c r="G669" s="211"/>
      <c r="H669" s="211"/>
      <c r="I669" s="211"/>
      <c r="J669" s="211"/>
      <c r="K669" s="211"/>
      <c r="L669" s="211"/>
      <c r="M669" s="211"/>
      <c r="N669" s="213" t="s">
        <v>578</v>
      </c>
    </row>
    <row r="670" ht="18" customHeight="1" spans="1:14">
      <c r="A670" s="207"/>
      <c r="B670" s="210" t="s">
        <v>1707</v>
      </c>
      <c r="C670" s="211">
        <v>56</v>
      </c>
      <c r="D670" s="211">
        <f t="shared" si="15"/>
        <v>56</v>
      </c>
      <c r="E670" s="211">
        <v>56</v>
      </c>
      <c r="F670" s="211"/>
      <c r="G670" s="211"/>
      <c r="H670" s="211"/>
      <c r="I670" s="211"/>
      <c r="J670" s="211"/>
      <c r="K670" s="211"/>
      <c r="L670" s="211"/>
      <c r="M670" s="211"/>
      <c r="N670" s="213" t="s">
        <v>578</v>
      </c>
    </row>
    <row r="671" ht="18" customHeight="1" spans="1:14">
      <c r="A671" s="207"/>
      <c r="B671" s="210" t="s">
        <v>1708</v>
      </c>
      <c r="C671" s="211">
        <v>66</v>
      </c>
      <c r="D671" s="211">
        <f t="shared" si="15"/>
        <v>66</v>
      </c>
      <c r="E671" s="211">
        <v>66</v>
      </c>
      <c r="F671" s="211"/>
      <c r="G671" s="211"/>
      <c r="H671" s="211"/>
      <c r="I671" s="211"/>
      <c r="J671" s="211"/>
      <c r="K671" s="211"/>
      <c r="L671" s="211"/>
      <c r="M671" s="211"/>
      <c r="N671" s="213" t="s">
        <v>578</v>
      </c>
    </row>
    <row r="672" ht="18" customHeight="1" spans="1:14">
      <c r="A672" s="207"/>
      <c r="B672" s="210" t="s">
        <v>1709</v>
      </c>
      <c r="C672" s="211">
        <v>13</v>
      </c>
      <c r="D672" s="211">
        <f t="shared" si="15"/>
        <v>13</v>
      </c>
      <c r="E672" s="211">
        <v>13</v>
      </c>
      <c r="F672" s="211"/>
      <c r="G672" s="211"/>
      <c r="H672" s="211"/>
      <c r="I672" s="211"/>
      <c r="J672" s="211"/>
      <c r="K672" s="211"/>
      <c r="L672" s="211"/>
      <c r="M672" s="211"/>
      <c r="N672" s="213" t="s">
        <v>578</v>
      </c>
    </row>
    <row r="673" ht="18" customHeight="1" spans="1:14">
      <c r="A673" s="207"/>
      <c r="B673" s="210" t="s">
        <v>1710</v>
      </c>
      <c r="C673" s="211">
        <v>10</v>
      </c>
      <c r="D673" s="211">
        <f t="shared" si="15"/>
        <v>10</v>
      </c>
      <c r="E673" s="211">
        <v>10</v>
      </c>
      <c r="F673" s="211"/>
      <c r="G673" s="211"/>
      <c r="H673" s="211"/>
      <c r="I673" s="211"/>
      <c r="J673" s="211"/>
      <c r="K673" s="211"/>
      <c r="L673" s="211"/>
      <c r="M673" s="211"/>
      <c r="N673" s="213" t="s">
        <v>578</v>
      </c>
    </row>
    <row r="674" ht="18" customHeight="1" spans="1:14">
      <c r="A674" s="207"/>
      <c r="B674" s="210" t="s">
        <v>1711</v>
      </c>
      <c r="C674" s="211">
        <v>30</v>
      </c>
      <c r="D674" s="211">
        <f t="shared" si="15"/>
        <v>30</v>
      </c>
      <c r="E674" s="211">
        <v>30</v>
      </c>
      <c r="F674" s="211"/>
      <c r="G674" s="211"/>
      <c r="H674" s="211"/>
      <c r="I674" s="211"/>
      <c r="J674" s="211"/>
      <c r="K674" s="211"/>
      <c r="L674" s="211"/>
      <c r="M674" s="211"/>
      <c r="N674" s="213" t="s">
        <v>578</v>
      </c>
    </row>
    <row r="675" ht="18" customHeight="1" spans="1:14">
      <c r="A675" s="207">
        <v>602002</v>
      </c>
      <c r="B675" s="214" t="s">
        <v>739</v>
      </c>
      <c r="C675" s="205">
        <v>29</v>
      </c>
      <c r="D675" s="205">
        <f t="shared" si="15"/>
        <v>29</v>
      </c>
      <c r="E675" s="205">
        <v>29</v>
      </c>
      <c r="F675" s="205"/>
      <c r="G675" s="205"/>
      <c r="H675" s="205"/>
      <c r="I675" s="205"/>
      <c r="J675" s="205"/>
      <c r="K675" s="205"/>
      <c r="L675" s="205"/>
      <c r="M675" s="205"/>
      <c r="N675" s="213" t="s">
        <v>578</v>
      </c>
    </row>
    <row r="676" ht="18" customHeight="1" spans="1:14">
      <c r="A676" s="207"/>
      <c r="B676" s="210" t="s">
        <v>1712</v>
      </c>
      <c r="C676" s="211">
        <v>12</v>
      </c>
      <c r="D676" s="211">
        <f t="shared" si="15"/>
        <v>12</v>
      </c>
      <c r="E676" s="211">
        <v>12</v>
      </c>
      <c r="F676" s="211"/>
      <c r="G676" s="211"/>
      <c r="H676" s="211"/>
      <c r="I676" s="211"/>
      <c r="J676" s="211"/>
      <c r="K676" s="211"/>
      <c r="L676" s="211"/>
      <c r="M676" s="211"/>
      <c r="N676" s="213" t="s">
        <v>578</v>
      </c>
    </row>
    <row r="677" ht="18" customHeight="1" spans="1:14">
      <c r="A677" s="207"/>
      <c r="B677" s="210" t="s">
        <v>1713</v>
      </c>
      <c r="C677" s="211">
        <v>17</v>
      </c>
      <c r="D677" s="211">
        <f t="shared" si="15"/>
        <v>17</v>
      </c>
      <c r="E677" s="211">
        <v>17</v>
      </c>
      <c r="F677" s="211"/>
      <c r="G677" s="211"/>
      <c r="H677" s="211"/>
      <c r="I677" s="211"/>
      <c r="J677" s="211"/>
      <c r="K677" s="211"/>
      <c r="L677" s="211"/>
      <c r="M677" s="211"/>
      <c r="N677" s="213" t="s">
        <v>578</v>
      </c>
    </row>
    <row r="678" ht="18" customHeight="1" spans="1:14">
      <c r="A678" s="207">
        <v>602003</v>
      </c>
      <c r="B678" s="204" t="s">
        <v>740</v>
      </c>
      <c r="C678" s="205">
        <v>31</v>
      </c>
      <c r="D678" s="205">
        <f t="shared" si="15"/>
        <v>31</v>
      </c>
      <c r="E678" s="205">
        <v>31</v>
      </c>
      <c r="F678" s="205"/>
      <c r="G678" s="205"/>
      <c r="H678" s="205"/>
      <c r="I678" s="205"/>
      <c r="J678" s="205"/>
      <c r="K678" s="205"/>
      <c r="L678" s="205"/>
      <c r="M678" s="205"/>
      <c r="N678" s="213" t="s">
        <v>578</v>
      </c>
    </row>
    <row r="679" ht="18" customHeight="1" spans="1:14">
      <c r="A679" s="207"/>
      <c r="B679" s="210" t="s">
        <v>1714</v>
      </c>
      <c r="C679" s="211">
        <v>3</v>
      </c>
      <c r="D679" s="211">
        <f t="shared" si="15"/>
        <v>3</v>
      </c>
      <c r="E679" s="211">
        <v>3</v>
      </c>
      <c r="F679" s="211"/>
      <c r="G679" s="211"/>
      <c r="H679" s="211"/>
      <c r="I679" s="211"/>
      <c r="J679" s="211"/>
      <c r="K679" s="211"/>
      <c r="L679" s="211"/>
      <c r="M679" s="211"/>
      <c r="N679" s="213" t="s">
        <v>578</v>
      </c>
    </row>
    <row r="680" ht="18" customHeight="1" spans="1:14">
      <c r="A680" s="207"/>
      <c r="B680" s="210" t="s">
        <v>1715</v>
      </c>
      <c r="C680" s="211">
        <v>10</v>
      </c>
      <c r="D680" s="211">
        <f t="shared" si="15"/>
        <v>10</v>
      </c>
      <c r="E680" s="211">
        <v>10</v>
      </c>
      <c r="F680" s="211"/>
      <c r="G680" s="211"/>
      <c r="H680" s="211"/>
      <c r="I680" s="211"/>
      <c r="J680" s="211"/>
      <c r="K680" s="211"/>
      <c r="L680" s="211"/>
      <c r="M680" s="211"/>
      <c r="N680" s="213" t="s">
        <v>578</v>
      </c>
    </row>
    <row r="681" ht="18" customHeight="1" spans="1:14">
      <c r="A681" s="207"/>
      <c r="B681" s="210" t="s">
        <v>1716</v>
      </c>
      <c r="C681" s="211">
        <v>18</v>
      </c>
      <c r="D681" s="211">
        <f t="shared" si="15"/>
        <v>18</v>
      </c>
      <c r="E681" s="211">
        <v>18</v>
      </c>
      <c r="F681" s="211"/>
      <c r="G681" s="211"/>
      <c r="H681" s="211"/>
      <c r="I681" s="211"/>
      <c r="J681" s="211"/>
      <c r="K681" s="211"/>
      <c r="L681" s="211"/>
      <c r="M681" s="211"/>
      <c r="N681" s="213" t="s">
        <v>578</v>
      </c>
    </row>
    <row r="682" ht="18" customHeight="1" spans="1:14">
      <c r="A682" s="207">
        <v>602004</v>
      </c>
      <c r="B682" s="208" t="s">
        <v>741</v>
      </c>
      <c r="C682" s="205">
        <v>5</v>
      </c>
      <c r="D682" s="205">
        <f t="shared" si="15"/>
        <v>5</v>
      </c>
      <c r="E682" s="205">
        <v>5</v>
      </c>
      <c r="F682" s="205"/>
      <c r="G682" s="205"/>
      <c r="H682" s="205"/>
      <c r="I682" s="205"/>
      <c r="J682" s="205"/>
      <c r="K682" s="205"/>
      <c r="L682" s="205"/>
      <c r="M682" s="205"/>
      <c r="N682" s="213" t="s">
        <v>578</v>
      </c>
    </row>
    <row r="683" ht="18" customHeight="1" spans="1:14">
      <c r="A683" s="207"/>
      <c r="B683" s="210" t="s">
        <v>1717</v>
      </c>
      <c r="C683" s="211">
        <v>5</v>
      </c>
      <c r="D683" s="211">
        <f t="shared" si="15"/>
        <v>5</v>
      </c>
      <c r="E683" s="211">
        <v>5</v>
      </c>
      <c r="F683" s="211"/>
      <c r="G683" s="211"/>
      <c r="H683" s="211"/>
      <c r="I683" s="211"/>
      <c r="J683" s="211"/>
      <c r="K683" s="211"/>
      <c r="L683" s="211"/>
      <c r="M683" s="211"/>
      <c r="N683" s="213" t="s">
        <v>578</v>
      </c>
    </row>
    <row r="684" ht="18" customHeight="1" spans="1:14">
      <c r="A684" s="207">
        <v>602005</v>
      </c>
      <c r="B684" s="204" t="s">
        <v>742</v>
      </c>
      <c r="C684" s="205">
        <v>49</v>
      </c>
      <c r="D684" s="205">
        <f t="shared" si="15"/>
        <v>49</v>
      </c>
      <c r="E684" s="205">
        <v>49</v>
      </c>
      <c r="F684" s="205"/>
      <c r="G684" s="205"/>
      <c r="H684" s="205"/>
      <c r="I684" s="205"/>
      <c r="J684" s="205"/>
      <c r="K684" s="205"/>
      <c r="L684" s="205"/>
      <c r="M684" s="205"/>
      <c r="N684" s="213" t="s">
        <v>578</v>
      </c>
    </row>
    <row r="685" ht="18" customHeight="1" spans="1:14">
      <c r="A685" s="207"/>
      <c r="B685" s="210" t="s">
        <v>1718</v>
      </c>
      <c r="C685" s="211">
        <v>3</v>
      </c>
      <c r="D685" s="211">
        <f t="shared" si="15"/>
        <v>3</v>
      </c>
      <c r="E685" s="211">
        <v>3</v>
      </c>
      <c r="F685" s="211"/>
      <c r="G685" s="211"/>
      <c r="H685" s="211"/>
      <c r="I685" s="211"/>
      <c r="J685" s="211"/>
      <c r="K685" s="211"/>
      <c r="L685" s="211"/>
      <c r="M685" s="211"/>
      <c r="N685" s="213" t="s">
        <v>578</v>
      </c>
    </row>
    <row r="686" ht="18" customHeight="1" spans="1:14">
      <c r="A686" s="207"/>
      <c r="B686" s="210" t="s">
        <v>1719</v>
      </c>
      <c r="C686" s="211">
        <v>16</v>
      </c>
      <c r="D686" s="211">
        <f t="shared" si="15"/>
        <v>16</v>
      </c>
      <c r="E686" s="211">
        <v>16</v>
      </c>
      <c r="F686" s="211"/>
      <c r="G686" s="211"/>
      <c r="H686" s="211"/>
      <c r="I686" s="211"/>
      <c r="J686" s="211"/>
      <c r="K686" s="211"/>
      <c r="L686" s="211"/>
      <c r="M686" s="211"/>
      <c r="N686" s="213" t="s">
        <v>578</v>
      </c>
    </row>
    <row r="687" ht="18" customHeight="1" spans="1:14">
      <c r="A687" s="207"/>
      <c r="B687" s="210" t="s">
        <v>1720</v>
      </c>
      <c r="C687" s="211">
        <v>30</v>
      </c>
      <c r="D687" s="211">
        <f t="shared" si="15"/>
        <v>30</v>
      </c>
      <c r="E687" s="211">
        <v>30</v>
      </c>
      <c r="F687" s="211"/>
      <c r="G687" s="211"/>
      <c r="H687" s="211"/>
      <c r="I687" s="211"/>
      <c r="J687" s="211"/>
      <c r="K687" s="211"/>
      <c r="L687" s="211"/>
      <c r="M687" s="211"/>
      <c r="N687" s="213" t="s">
        <v>578</v>
      </c>
    </row>
    <row r="688" ht="18" customHeight="1" spans="1:14">
      <c r="A688" s="207">
        <v>602006</v>
      </c>
      <c r="B688" s="204" t="s">
        <v>743</v>
      </c>
      <c r="C688" s="205">
        <v>223.5</v>
      </c>
      <c r="D688" s="205">
        <f t="shared" si="15"/>
        <v>223.5</v>
      </c>
      <c r="E688" s="205">
        <v>223.5</v>
      </c>
      <c r="F688" s="205"/>
      <c r="G688" s="205"/>
      <c r="H688" s="205"/>
      <c r="I688" s="205"/>
      <c r="J688" s="205"/>
      <c r="K688" s="205"/>
      <c r="L688" s="205"/>
      <c r="M688" s="205"/>
      <c r="N688" s="213" t="s">
        <v>578</v>
      </c>
    </row>
    <row r="689" ht="18" customHeight="1" spans="1:14">
      <c r="A689" s="207"/>
      <c r="B689" s="210" t="s">
        <v>1721</v>
      </c>
      <c r="C689" s="211">
        <v>40</v>
      </c>
      <c r="D689" s="211">
        <f t="shared" si="15"/>
        <v>40</v>
      </c>
      <c r="E689" s="211">
        <v>40</v>
      </c>
      <c r="F689" s="211"/>
      <c r="G689" s="211"/>
      <c r="H689" s="211"/>
      <c r="I689" s="211"/>
      <c r="J689" s="211"/>
      <c r="K689" s="211"/>
      <c r="L689" s="211"/>
      <c r="M689" s="211"/>
      <c r="N689" s="213" t="s">
        <v>578</v>
      </c>
    </row>
    <row r="690" ht="18" customHeight="1" spans="1:14">
      <c r="A690" s="207"/>
      <c r="B690" s="210" t="s">
        <v>1201</v>
      </c>
      <c r="C690" s="211">
        <v>73.5</v>
      </c>
      <c r="D690" s="211">
        <f t="shared" si="15"/>
        <v>73.5</v>
      </c>
      <c r="E690" s="211">
        <v>73.5</v>
      </c>
      <c r="F690" s="211"/>
      <c r="G690" s="211"/>
      <c r="H690" s="211"/>
      <c r="I690" s="211"/>
      <c r="J690" s="211"/>
      <c r="K690" s="211"/>
      <c r="L690" s="211"/>
      <c r="M690" s="211"/>
      <c r="N690" s="213" t="s">
        <v>578</v>
      </c>
    </row>
    <row r="691" ht="18" customHeight="1" spans="1:14">
      <c r="A691" s="207"/>
      <c r="B691" s="210" t="s">
        <v>1722</v>
      </c>
      <c r="C691" s="211">
        <v>70</v>
      </c>
      <c r="D691" s="211">
        <f t="shared" si="15"/>
        <v>70</v>
      </c>
      <c r="E691" s="211">
        <v>70</v>
      </c>
      <c r="F691" s="211"/>
      <c r="G691" s="211"/>
      <c r="H691" s="211"/>
      <c r="I691" s="211"/>
      <c r="J691" s="211"/>
      <c r="K691" s="211"/>
      <c r="L691" s="211"/>
      <c r="M691" s="211"/>
      <c r="N691" s="213" t="s">
        <v>578</v>
      </c>
    </row>
    <row r="692" ht="18" customHeight="1" spans="1:14">
      <c r="A692" s="207"/>
      <c r="B692" s="210" t="s">
        <v>1723</v>
      </c>
      <c r="C692" s="211">
        <v>40</v>
      </c>
      <c r="D692" s="211">
        <f t="shared" si="15"/>
        <v>40</v>
      </c>
      <c r="E692" s="211">
        <v>40</v>
      </c>
      <c r="F692" s="211"/>
      <c r="G692" s="211"/>
      <c r="H692" s="211"/>
      <c r="I692" s="211"/>
      <c r="J692" s="211"/>
      <c r="K692" s="211"/>
      <c r="L692" s="211"/>
      <c r="M692" s="211"/>
      <c r="N692" s="213" t="s">
        <v>578</v>
      </c>
    </row>
    <row r="693" ht="18" customHeight="1" spans="1:14">
      <c r="A693" s="207">
        <v>602007</v>
      </c>
      <c r="B693" s="204" t="s">
        <v>744</v>
      </c>
      <c r="C693" s="205">
        <v>4.8</v>
      </c>
      <c r="D693" s="205">
        <f t="shared" si="15"/>
        <v>4.8</v>
      </c>
      <c r="E693" s="205">
        <v>4.8</v>
      </c>
      <c r="F693" s="205"/>
      <c r="G693" s="205"/>
      <c r="H693" s="205"/>
      <c r="I693" s="205"/>
      <c r="J693" s="205"/>
      <c r="K693" s="205"/>
      <c r="L693" s="205"/>
      <c r="M693" s="205"/>
      <c r="N693" s="213" t="s">
        <v>578</v>
      </c>
    </row>
    <row r="694" ht="18" customHeight="1" spans="1:14">
      <c r="A694" s="207"/>
      <c r="B694" s="210" t="s">
        <v>1724</v>
      </c>
      <c r="C694" s="211">
        <v>4.8</v>
      </c>
      <c r="D694" s="211">
        <f t="shared" si="15"/>
        <v>4.8</v>
      </c>
      <c r="E694" s="211">
        <v>4.8</v>
      </c>
      <c r="F694" s="211"/>
      <c r="G694" s="211"/>
      <c r="H694" s="211"/>
      <c r="I694" s="211"/>
      <c r="J694" s="211"/>
      <c r="K694" s="211"/>
      <c r="L694" s="211"/>
      <c r="M694" s="211"/>
      <c r="N694" s="213" t="s">
        <v>578</v>
      </c>
    </row>
    <row r="695" ht="18" customHeight="1" spans="1:14">
      <c r="A695" s="207">
        <v>603001</v>
      </c>
      <c r="B695" s="208" t="s">
        <v>745</v>
      </c>
      <c r="C695" s="205">
        <v>430</v>
      </c>
      <c r="D695" s="205">
        <f t="shared" si="15"/>
        <v>430</v>
      </c>
      <c r="E695" s="205">
        <v>430</v>
      </c>
      <c r="F695" s="205"/>
      <c r="G695" s="205"/>
      <c r="H695" s="205"/>
      <c r="I695" s="205"/>
      <c r="J695" s="205"/>
      <c r="K695" s="205"/>
      <c r="L695" s="205"/>
      <c r="M695" s="205"/>
      <c r="N695" s="213" t="s">
        <v>578</v>
      </c>
    </row>
    <row r="696" ht="18" customHeight="1" spans="1:14">
      <c r="A696" s="207"/>
      <c r="B696" s="210" t="s">
        <v>1725</v>
      </c>
      <c r="C696" s="211">
        <v>430</v>
      </c>
      <c r="D696" s="211">
        <f t="shared" si="15"/>
        <v>430</v>
      </c>
      <c r="E696" s="211">
        <v>430</v>
      </c>
      <c r="F696" s="211"/>
      <c r="G696" s="211"/>
      <c r="H696" s="211"/>
      <c r="I696" s="211"/>
      <c r="J696" s="211"/>
      <c r="K696" s="211"/>
      <c r="L696" s="211"/>
      <c r="M696" s="211"/>
      <c r="N696" s="213" t="s">
        <v>578</v>
      </c>
    </row>
    <row r="697" ht="18" customHeight="1" spans="1:14">
      <c r="A697" s="207">
        <v>604001</v>
      </c>
      <c r="B697" s="204" t="s">
        <v>746</v>
      </c>
      <c r="C697" s="205">
        <v>1289.676167</v>
      </c>
      <c r="D697" s="205">
        <f t="shared" si="15"/>
        <v>1289.676167</v>
      </c>
      <c r="E697" s="205">
        <v>889.676167</v>
      </c>
      <c r="F697" s="205">
        <v>400</v>
      </c>
      <c r="G697" s="205"/>
      <c r="H697" s="205"/>
      <c r="I697" s="205"/>
      <c r="J697" s="205"/>
      <c r="K697" s="205"/>
      <c r="L697" s="205"/>
      <c r="M697" s="205"/>
      <c r="N697" s="213" t="s">
        <v>578</v>
      </c>
    </row>
    <row r="698" ht="18" customHeight="1" spans="1:14">
      <c r="A698" s="207"/>
      <c r="B698" s="210" t="s">
        <v>1726</v>
      </c>
      <c r="C698" s="211">
        <v>5</v>
      </c>
      <c r="D698" s="211">
        <f t="shared" si="15"/>
        <v>5</v>
      </c>
      <c r="E698" s="211">
        <v>5</v>
      </c>
      <c r="F698" s="211"/>
      <c r="G698" s="211"/>
      <c r="H698" s="211"/>
      <c r="I698" s="211"/>
      <c r="J698" s="211"/>
      <c r="K698" s="211"/>
      <c r="L698" s="211"/>
      <c r="M698" s="211"/>
      <c r="N698" s="213" t="s">
        <v>578</v>
      </c>
    </row>
    <row r="699" ht="18" customHeight="1" spans="1:14">
      <c r="A699" s="207"/>
      <c r="B699" s="210" t="s">
        <v>1727</v>
      </c>
      <c r="C699" s="211">
        <v>140</v>
      </c>
      <c r="D699" s="211">
        <f t="shared" si="15"/>
        <v>140</v>
      </c>
      <c r="E699" s="211">
        <v>140</v>
      </c>
      <c r="F699" s="211"/>
      <c r="G699" s="211"/>
      <c r="H699" s="211"/>
      <c r="I699" s="211"/>
      <c r="J699" s="211"/>
      <c r="K699" s="211"/>
      <c r="L699" s="211"/>
      <c r="M699" s="211"/>
      <c r="N699" s="213" t="s">
        <v>578</v>
      </c>
    </row>
    <row r="700" ht="18" customHeight="1" spans="1:14">
      <c r="A700" s="207"/>
      <c r="B700" s="210" t="s">
        <v>1728</v>
      </c>
      <c r="C700" s="211">
        <v>12</v>
      </c>
      <c r="D700" s="211">
        <f t="shared" si="15"/>
        <v>12</v>
      </c>
      <c r="E700" s="211">
        <v>12</v>
      </c>
      <c r="F700" s="211"/>
      <c r="G700" s="211"/>
      <c r="H700" s="211"/>
      <c r="I700" s="211"/>
      <c r="J700" s="211"/>
      <c r="K700" s="211"/>
      <c r="L700" s="211"/>
      <c r="M700" s="211"/>
      <c r="N700" s="213" t="s">
        <v>578</v>
      </c>
    </row>
    <row r="701" ht="18" customHeight="1" spans="1:14">
      <c r="A701" s="207"/>
      <c r="B701" s="210" t="s">
        <v>1729</v>
      </c>
      <c r="C701" s="211">
        <v>93</v>
      </c>
      <c r="D701" s="211">
        <f t="shared" si="15"/>
        <v>93</v>
      </c>
      <c r="E701" s="211">
        <v>93</v>
      </c>
      <c r="F701" s="211"/>
      <c r="G701" s="211"/>
      <c r="H701" s="211"/>
      <c r="I701" s="211"/>
      <c r="J701" s="211"/>
      <c r="K701" s="211"/>
      <c r="L701" s="211"/>
      <c r="M701" s="211"/>
      <c r="N701" s="213" t="s">
        <v>578</v>
      </c>
    </row>
    <row r="702" ht="18" customHeight="1" spans="1:14">
      <c r="A702" s="207"/>
      <c r="B702" s="210" t="s">
        <v>1730</v>
      </c>
      <c r="C702" s="211">
        <v>138</v>
      </c>
      <c r="D702" s="211">
        <f t="shared" si="15"/>
        <v>138</v>
      </c>
      <c r="E702" s="211">
        <v>138</v>
      </c>
      <c r="F702" s="211"/>
      <c r="G702" s="211"/>
      <c r="H702" s="211"/>
      <c r="I702" s="211"/>
      <c r="J702" s="211"/>
      <c r="K702" s="211"/>
      <c r="L702" s="211"/>
      <c r="M702" s="211"/>
      <c r="N702" s="213" t="s">
        <v>578</v>
      </c>
    </row>
    <row r="703" ht="18" customHeight="1" spans="1:14">
      <c r="A703" s="207"/>
      <c r="B703" s="210" t="s">
        <v>1731</v>
      </c>
      <c r="C703" s="211">
        <v>400</v>
      </c>
      <c r="D703" s="211">
        <f t="shared" si="15"/>
        <v>400</v>
      </c>
      <c r="E703" s="211"/>
      <c r="F703" s="211">
        <v>400</v>
      </c>
      <c r="G703" s="211"/>
      <c r="H703" s="211"/>
      <c r="I703" s="211"/>
      <c r="J703" s="211"/>
      <c r="K703" s="211"/>
      <c r="L703" s="211"/>
      <c r="M703" s="211"/>
      <c r="N703" s="213" t="s">
        <v>578</v>
      </c>
    </row>
    <row r="704" ht="18" customHeight="1" spans="1:14">
      <c r="A704" s="207"/>
      <c r="B704" s="210" t="s">
        <v>1732</v>
      </c>
      <c r="C704" s="211">
        <v>446.676167</v>
      </c>
      <c r="D704" s="211">
        <f t="shared" si="15"/>
        <v>446.676167</v>
      </c>
      <c r="E704" s="211">
        <v>446.676167</v>
      </c>
      <c r="F704" s="211"/>
      <c r="G704" s="211"/>
      <c r="H704" s="211"/>
      <c r="I704" s="211"/>
      <c r="J704" s="211"/>
      <c r="K704" s="211"/>
      <c r="L704" s="211"/>
      <c r="M704" s="211"/>
      <c r="N704" s="213" t="s">
        <v>578</v>
      </c>
    </row>
    <row r="705" ht="18" customHeight="1" spans="1:14">
      <c r="A705" s="207"/>
      <c r="B705" s="210" t="s">
        <v>1733</v>
      </c>
      <c r="C705" s="211">
        <v>55</v>
      </c>
      <c r="D705" s="211">
        <f t="shared" si="15"/>
        <v>55</v>
      </c>
      <c r="E705" s="211">
        <v>55</v>
      </c>
      <c r="F705" s="211"/>
      <c r="G705" s="211"/>
      <c r="H705" s="211"/>
      <c r="I705" s="211"/>
      <c r="J705" s="211"/>
      <c r="K705" s="211"/>
      <c r="L705" s="211"/>
      <c r="M705" s="211"/>
      <c r="N705" s="213" t="s">
        <v>578</v>
      </c>
    </row>
    <row r="706" ht="18" customHeight="1" spans="1:14">
      <c r="A706" s="207">
        <v>605001</v>
      </c>
      <c r="B706" s="204" t="s">
        <v>747</v>
      </c>
      <c r="C706" s="205">
        <v>3110.48</v>
      </c>
      <c r="D706" s="205">
        <f t="shared" si="15"/>
        <v>3110.48</v>
      </c>
      <c r="E706" s="205">
        <v>3110.48</v>
      </c>
      <c r="F706" s="205"/>
      <c r="G706" s="205"/>
      <c r="H706" s="205"/>
      <c r="I706" s="205"/>
      <c r="J706" s="205"/>
      <c r="K706" s="205"/>
      <c r="L706" s="205"/>
      <c r="M706" s="205"/>
      <c r="N706" s="213" t="s">
        <v>578</v>
      </c>
    </row>
    <row r="707" ht="18" customHeight="1" spans="1:14">
      <c r="A707" s="207"/>
      <c r="B707" s="210" t="s">
        <v>1734</v>
      </c>
      <c r="C707" s="211">
        <v>45</v>
      </c>
      <c r="D707" s="211">
        <f t="shared" si="15"/>
        <v>45</v>
      </c>
      <c r="E707" s="211">
        <v>45</v>
      </c>
      <c r="F707" s="211"/>
      <c r="G707" s="211"/>
      <c r="H707" s="211"/>
      <c r="I707" s="211"/>
      <c r="J707" s="211"/>
      <c r="K707" s="211"/>
      <c r="L707" s="211"/>
      <c r="M707" s="211"/>
      <c r="N707" s="213" t="s">
        <v>578</v>
      </c>
    </row>
    <row r="708" ht="18" customHeight="1" spans="1:14">
      <c r="A708" s="207"/>
      <c r="B708" s="210" t="s">
        <v>1735</v>
      </c>
      <c r="C708" s="211">
        <v>330</v>
      </c>
      <c r="D708" s="211">
        <f t="shared" si="15"/>
        <v>330</v>
      </c>
      <c r="E708" s="211">
        <v>330</v>
      </c>
      <c r="F708" s="211"/>
      <c r="G708" s="211"/>
      <c r="H708" s="211"/>
      <c r="I708" s="211"/>
      <c r="J708" s="211"/>
      <c r="K708" s="211"/>
      <c r="L708" s="211"/>
      <c r="M708" s="211"/>
      <c r="N708" s="213" t="s">
        <v>578</v>
      </c>
    </row>
    <row r="709" ht="18" customHeight="1" spans="1:14">
      <c r="A709" s="207"/>
      <c r="B709" s="210" t="s">
        <v>1736</v>
      </c>
      <c r="C709" s="211">
        <v>1183</v>
      </c>
      <c r="D709" s="211">
        <f t="shared" si="15"/>
        <v>1183</v>
      </c>
      <c r="E709" s="211">
        <v>1183</v>
      </c>
      <c r="F709" s="211"/>
      <c r="G709" s="211"/>
      <c r="H709" s="211"/>
      <c r="I709" s="211"/>
      <c r="J709" s="211"/>
      <c r="K709" s="211"/>
      <c r="L709" s="211"/>
      <c r="M709" s="211"/>
      <c r="N709" s="213" t="s">
        <v>578</v>
      </c>
    </row>
    <row r="710" ht="18" customHeight="1" spans="1:14">
      <c r="A710" s="207"/>
      <c r="B710" s="210" t="s">
        <v>1737</v>
      </c>
      <c r="C710" s="211">
        <v>1460.48</v>
      </c>
      <c r="D710" s="211">
        <f t="shared" si="15"/>
        <v>1460.48</v>
      </c>
      <c r="E710" s="211">
        <v>1460.48</v>
      </c>
      <c r="F710" s="211"/>
      <c r="G710" s="211"/>
      <c r="H710" s="211"/>
      <c r="I710" s="211"/>
      <c r="J710" s="211"/>
      <c r="K710" s="211"/>
      <c r="L710" s="211"/>
      <c r="M710" s="211"/>
      <c r="N710" s="213" t="s">
        <v>578</v>
      </c>
    </row>
    <row r="711" ht="18" customHeight="1" spans="1:14">
      <c r="A711" s="207"/>
      <c r="B711" s="210" t="s">
        <v>1738</v>
      </c>
      <c r="C711" s="211">
        <v>12</v>
      </c>
      <c r="D711" s="211">
        <f t="shared" si="15"/>
        <v>12</v>
      </c>
      <c r="E711" s="211">
        <v>12</v>
      </c>
      <c r="F711" s="211"/>
      <c r="G711" s="211"/>
      <c r="H711" s="211"/>
      <c r="I711" s="211"/>
      <c r="J711" s="211"/>
      <c r="K711" s="211"/>
      <c r="L711" s="211"/>
      <c r="M711" s="211"/>
      <c r="N711" s="213" t="s">
        <v>578</v>
      </c>
    </row>
    <row r="712" ht="18" customHeight="1" spans="1:14">
      <c r="A712" s="207"/>
      <c r="B712" s="210" t="s">
        <v>1739</v>
      </c>
      <c r="C712" s="211">
        <v>80</v>
      </c>
      <c r="D712" s="211">
        <f t="shared" si="15"/>
        <v>80</v>
      </c>
      <c r="E712" s="211">
        <v>80</v>
      </c>
      <c r="F712" s="211"/>
      <c r="G712" s="211"/>
      <c r="H712" s="211"/>
      <c r="I712" s="211"/>
      <c r="J712" s="211"/>
      <c r="K712" s="211"/>
      <c r="L712" s="211"/>
      <c r="M712" s="211"/>
      <c r="N712" s="213" t="s">
        <v>578</v>
      </c>
    </row>
    <row r="713" ht="18" customHeight="1" spans="1:14">
      <c r="A713" s="207">
        <v>605002</v>
      </c>
      <c r="B713" s="204" t="s">
        <v>748</v>
      </c>
      <c r="C713" s="205">
        <v>835</v>
      </c>
      <c r="D713" s="205">
        <f t="shared" si="15"/>
        <v>835</v>
      </c>
      <c r="E713" s="205">
        <v>835</v>
      </c>
      <c r="F713" s="205"/>
      <c r="G713" s="205"/>
      <c r="H713" s="205"/>
      <c r="I713" s="205"/>
      <c r="J713" s="205"/>
      <c r="K713" s="205"/>
      <c r="L713" s="205"/>
      <c r="M713" s="205"/>
      <c r="N713" s="213" t="s">
        <v>578</v>
      </c>
    </row>
    <row r="714" ht="18" customHeight="1" spans="1:14">
      <c r="A714" s="207"/>
      <c r="B714" s="210" t="s">
        <v>1740</v>
      </c>
      <c r="C714" s="211">
        <v>45</v>
      </c>
      <c r="D714" s="211">
        <f t="shared" si="15"/>
        <v>45</v>
      </c>
      <c r="E714" s="211">
        <v>45</v>
      </c>
      <c r="F714" s="211"/>
      <c r="G714" s="211"/>
      <c r="H714" s="211"/>
      <c r="I714" s="211"/>
      <c r="J714" s="211"/>
      <c r="K714" s="211"/>
      <c r="L714" s="211"/>
      <c r="M714" s="211"/>
      <c r="N714" s="213" t="s">
        <v>578</v>
      </c>
    </row>
    <row r="715" ht="18" customHeight="1" spans="1:14">
      <c r="A715" s="207"/>
      <c r="B715" s="210" t="s">
        <v>1741</v>
      </c>
      <c r="C715" s="211">
        <v>10</v>
      </c>
      <c r="D715" s="211">
        <f t="shared" si="15"/>
        <v>10</v>
      </c>
      <c r="E715" s="211">
        <v>10</v>
      </c>
      <c r="F715" s="211"/>
      <c r="G715" s="211"/>
      <c r="H715" s="211"/>
      <c r="I715" s="211"/>
      <c r="J715" s="211"/>
      <c r="K715" s="211"/>
      <c r="L715" s="211"/>
      <c r="M715" s="211"/>
      <c r="N715" s="213" t="s">
        <v>578</v>
      </c>
    </row>
    <row r="716" ht="18" customHeight="1" spans="1:14">
      <c r="A716" s="207"/>
      <c r="B716" s="210" t="s">
        <v>1742</v>
      </c>
      <c r="C716" s="211">
        <v>780</v>
      </c>
      <c r="D716" s="211">
        <f t="shared" si="15"/>
        <v>780</v>
      </c>
      <c r="E716" s="211">
        <v>780</v>
      </c>
      <c r="F716" s="211"/>
      <c r="G716" s="211"/>
      <c r="H716" s="211"/>
      <c r="I716" s="211"/>
      <c r="J716" s="211"/>
      <c r="K716" s="211"/>
      <c r="L716" s="211"/>
      <c r="M716" s="211"/>
      <c r="N716" s="213" t="s">
        <v>578</v>
      </c>
    </row>
    <row r="717" ht="18" customHeight="1" spans="1:14">
      <c r="A717" s="207">
        <v>605003</v>
      </c>
      <c r="B717" s="204" t="s">
        <v>749</v>
      </c>
      <c r="C717" s="205">
        <v>115</v>
      </c>
      <c r="D717" s="205">
        <f t="shared" si="15"/>
        <v>115</v>
      </c>
      <c r="E717" s="205">
        <v>115</v>
      </c>
      <c r="F717" s="205"/>
      <c r="G717" s="205"/>
      <c r="H717" s="205"/>
      <c r="I717" s="205"/>
      <c r="J717" s="205"/>
      <c r="K717" s="205"/>
      <c r="L717" s="205"/>
      <c r="M717" s="205"/>
      <c r="N717" s="213" t="s">
        <v>578</v>
      </c>
    </row>
    <row r="718" ht="18" customHeight="1" spans="1:14">
      <c r="A718" s="207"/>
      <c r="B718" s="210" t="s">
        <v>1743</v>
      </c>
      <c r="C718" s="211">
        <v>15</v>
      </c>
      <c r="D718" s="211">
        <f t="shared" si="15"/>
        <v>15</v>
      </c>
      <c r="E718" s="211">
        <v>15</v>
      </c>
      <c r="F718" s="211"/>
      <c r="G718" s="211"/>
      <c r="H718" s="211"/>
      <c r="I718" s="211"/>
      <c r="J718" s="211"/>
      <c r="K718" s="211"/>
      <c r="L718" s="211"/>
      <c r="M718" s="211"/>
      <c r="N718" s="213" t="s">
        <v>578</v>
      </c>
    </row>
    <row r="719" ht="18" customHeight="1" spans="1:14">
      <c r="A719" s="207"/>
      <c r="B719" s="210" t="s">
        <v>1744</v>
      </c>
      <c r="C719" s="211">
        <v>100</v>
      </c>
      <c r="D719" s="211">
        <f t="shared" si="15"/>
        <v>100</v>
      </c>
      <c r="E719" s="211">
        <v>100</v>
      </c>
      <c r="F719" s="211"/>
      <c r="G719" s="211"/>
      <c r="H719" s="211"/>
      <c r="I719" s="211"/>
      <c r="J719" s="211"/>
      <c r="K719" s="211"/>
      <c r="L719" s="211"/>
      <c r="M719" s="211"/>
      <c r="N719" s="213" t="s">
        <v>578</v>
      </c>
    </row>
    <row r="720" ht="18" customHeight="1" spans="1:14">
      <c r="A720" s="207">
        <v>605004</v>
      </c>
      <c r="B720" s="204" t="s">
        <v>750</v>
      </c>
      <c r="C720" s="205">
        <v>51</v>
      </c>
      <c r="D720" s="205">
        <f t="shared" si="15"/>
        <v>51</v>
      </c>
      <c r="E720" s="205">
        <v>51</v>
      </c>
      <c r="F720" s="205"/>
      <c r="G720" s="205"/>
      <c r="H720" s="205"/>
      <c r="I720" s="205"/>
      <c r="J720" s="205"/>
      <c r="K720" s="205"/>
      <c r="L720" s="205"/>
      <c r="M720" s="205"/>
      <c r="N720" s="213" t="s">
        <v>578</v>
      </c>
    </row>
    <row r="721" ht="18" customHeight="1" spans="1:14">
      <c r="A721" s="207"/>
      <c r="B721" s="210" t="s">
        <v>1745</v>
      </c>
      <c r="C721" s="211">
        <v>51</v>
      </c>
      <c r="D721" s="211">
        <f t="shared" si="15"/>
        <v>51</v>
      </c>
      <c r="E721" s="211">
        <v>51</v>
      </c>
      <c r="F721" s="211"/>
      <c r="G721" s="211"/>
      <c r="H721" s="211"/>
      <c r="I721" s="211"/>
      <c r="J721" s="211"/>
      <c r="K721" s="211"/>
      <c r="L721" s="211"/>
      <c r="M721" s="211"/>
      <c r="N721" s="213" t="s">
        <v>578</v>
      </c>
    </row>
    <row r="722" ht="18" customHeight="1" spans="1:14">
      <c r="A722" s="207">
        <v>605005</v>
      </c>
      <c r="B722" s="204" t="s">
        <v>751</v>
      </c>
      <c r="C722" s="205">
        <v>101.5</v>
      </c>
      <c r="D722" s="205">
        <f t="shared" si="15"/>
        <v>101.5</v>
      </c>
      <c r="E722" s="205">
        <v>101.5</v>
      </c>
      <c r="F722" s="205"/>
      <c r="G722" s="205"/>
      <c r="H722" s="205"/>
      <c r="I722" s="205"/>
      <c r="J722" s="205"/>
      <c r="K722" s="205"/>
      <c r="L722" s="205"/>
      <c r="M722" s="205"/>
      <c r="N722" s="213" t="s">
        <v>578</v>
      </c>
    </row>
    <row r="723" ht="18" customHeight="1" spans="1:14">
      <c r="A723" s="207"/>
      <c r="B723" s="210" t="s">
        <v>1394</v>
      </c>
      <c r="C723" s="211">
        <v>1.5</v>
      </c>
      <c r="D723" s="211">
        <f t="shared" si="15"/>
        <v>1.5</v>
      </c>
      <c r="E723" s="211">
        <v>1.5</v>
      </c>
      <c r="F723" s="211"/>
      <c r="G723" s="211"/>
      <c r="H723" s="211"/>
      <c r="I723" s="211"/>
      <c r="J723" s="211"/>
      <c r="K723" s="211"/>
      <c r="L723" s="211"/>
      <c r="M723" s="211"/>
      <c r="N723" s="213" t="s">
        <v>578</v>
      </c>
    </row>
    <row r="724" ht="18" customHeight="1" spans="1:14">
      <c r="A724" s="207"/>
      <c r="B724" s="210" t="s">
        <v>1746</v>
      </c>
      <c r="C724" s="211">
        <v>100</v>
      </c>
      <c r="D724" s="211">
        <f t="shared" ref="D724:D726" si="16">E724+F724</f>
        <v>100</v>
      </c>
      <c r="E724" s="211">
        <v>100</v>
      </c>
      <c r="F724" s="211"/>
      <c r="G724" s="211"/>
      <c r="H724" s="211"/>
      <c r="I724" s="211"/>
      <c r="J724" s="211"/>
      <c r="K724" s="211"/>
      <c r="L724" s="211"/>
      <c r="M724" s="211"/>
      <c r="N724" s="213" t="s">
        <v>578</v>
      </c>
    </row>
    <row r="725" ht="18" customHeight="1" spans="1:14">
      <c r="A725" s="207">
        <v>605006</v>
      </c>
      <c r="B725" s="204" t="s">
        <v>752</v>
      </c>
      <c r="C725" s="205">
        <v>58</v>
      </c>
      <c r="D725" s="205">
        <f t="shared" si="16"/>
        <v>58</v>
      </c>
      <c r="E725" s="205">
        <v>58</v>
      </c>
      <c r="F725" s="205"/>
      <c r="G725" s="205"/>
      <c r="H725" s="205"/>
      <c r="I725" s="205"/>
      <c r="J725" s="205"/>
      <c r="K725" s="205"/>
      <c r="L725" s="205"/>
      <c r="M725" s="205"/>
      <c r="N725" s="213" t="s">
        <v>578</v>
      </c>
    </row>
    <row r="726" ht="18" customHeight="1" spans="1:14">
      <c r="A726" s="207"/>
      <c r="B726" s="210" t="s">
        <v>1747</v>
      </c>
      <c r="C726" s="211">
        <v>58</v>
      </c>
      <c r="D726" s="211">
        <f t="shared" si="16"/>
        <v>58</v>
      </c>
      <c r="E726" s="211">
        <v>58</v>
      </c>
      <c r="F726" s="211"/>
      <c r="G726" s="211"/>
      <c r="H726" s="211"/>
      <c r="I726" s="211"/>
      <c r="J726" s="211"/>
      <c r="K726" s="211"/>
      <c r="L726" s="211"/>
      <c r="M726" s="211"/>
      <c r="N726" s="213" t="s">
        <v>578</v>
      </c>
    </row>
    <row r="727" ht="18" customHeight="1" spans="1:14">
      <c r="A727" s="207"/>
      <c r="B727" s="210" t="s">
        <v>1748</v>
      </c>
      <c r="C727" s="211">
        <v>350</v>
      </c>
      <c r="D727" s="211"/>
      <c r="E727" s="211"/>
      <c r="F727" s="211"/>
      <c r="G727" s="211">
        <v>350</v>
      </c>
      <c r="H727" s="205"/>
      <c r="I727" s="205"/>
      <c r="J727" s="205"/>
      <c r="K727" s="205"/>
      <c r="L727" s="205"/>
      <c r="M727" s="205"/>
      <c r="N727" s="213" t="s">
        <v>578</v>
      </c>
    </row>
    <row r="728" ht="18" customHeight="1" spans="1:14">
      <c r="A728" s="207">
        <v>605007</v>
      </c>
      <c r="B728" s="204" t="s">
        <v>753</v>
      </c>
      <c r="C728" s="205">
        <v>69.5</v>
      </c>
      <c r="D728" s="205">
        <f t="shared" ref="D728:D774" si="17">E728+F728</f>
        <v>69.5</v>
      </c>
      <c r="E728" s="205"/>
      <c r="F728" s="205">
        <v>69.5</v>
      </c>
      <c r="G728" s="205"/>
      <c r="H728" s="205"/>
      <c r="I728" s="205"/>
      <c r="J728" s="205"/>
      <c r="K728" s="205"/>
      <c r="L728" s="205"/>
      <c r="M728" s="205"/>
      <c r="N728" s="213" t="s">
        <v>578</v>
      </c>
    </row>
    <row r="729" ht="18" customHeight="1" spans="1:14">
      <c r="A729" s="207"/>
      <c r="B729" s="210" t="s">
        <v>1749</v>
      </c>
      <c r="C729" s="211">
        <v>69.5</v>
      </c>
      <c r="D729" s="211">
        <f t="shared" si="17"/>
        <v>69.5</v>
      </c>
      <c r="E729" s="211"/>
      <c r="F729" s="211">
        <v>69.5</v>
      </c>
      <c r="G729" s="211"/>
      <c r="H729" s="211"/>
      <c r="I729" s="211"/>
      <c r="J729" s="211"/>
      <c r="K729" s="211"/>
      <c r="L729" s="211"/>
      <c r="M729" s="211"/>
      <c r="N729" s="213" t="s">
        <v>578</v>
      </c>
    </row>
    <row r="730" ht="18" customHeight="1" spans="1:14">
      <c r="A730" s="207">
        <v>605014</v>
      </c>
      <c r="B730" s="204" t="s">
        <v>760</v>
      </c>
      <c r="C730" s="205">
        <v>61.798</v>
      </c>
      <c r="D730" s="205">
        <f t="shared" si="17"/>
        <v>61.798</v>
      </c>
      <c r="E730" s="205">
        <v>61.798</v>
      </c>
      <c r="F730" s="205"/>
      <c r="G730" s="205"/>
      <c r="H730" s="205"/>
      <c r="I730" s="205"/>
      <c r="J730" s="205"/>
      <c r="K730" s="205"/>
      <c r="L730" s="205"/>
      <c r="M730" s="205"/>
      <c r="N730" s="213" t="s">
        <v>578</v>
      </c>
    </row>
    <row r="731" ht="18" customHeight="1" spans="1:14">
      <c r="A731" s="207"/>
      <c r="B731" s="210" t="s">
        <v>1750</v>
      </c>
      <c r="C731" s="211">
        <v>46.8</v>
      </c>
      <c r="D731" s="211">
        <f t="shared" si="17"/>
        <v>46.8</v>
      </c>
      <c r="E731" s="211">
        <v>46.8</v>
      </c>
      <c r="F731" s="211"/>
      <c r="G731" s="211"/>
      <c r="H731" s="211"/>
      <c r="I731" s="211"/>
      <c r="J731" s="211"/>
      <c r="K731" s="211"/>
      <c r="L731" s="211"/>
      <c r="M731" s="211"/>
      <c r="N731" s="213" t="s">
        <v>578</v>
      </c>
    </row>
    <row r="732" ht="18" customHeight="1" spans="1:14">
      <c r="A732" s="207"/>
      <c r="B732" s="210" t="s">
        <v>1751</v>
      </c>
      <c r="C732" s="211">
        <v>9.36</v>
      </c>
      <c r="D732" s="211">
        <f t="shared" si="17"/>
        <v>9.36</v>
      </c>
      <c r="E732" s="211">
        <v>9.36</v>
      </c>
      <c r="F732" s="211"/>
      <c r="G732" s="211"/>
      <c r="H732" s="211"/>
      <c r="I732" s="211"/>
      <c r="J732" s="211"/>
      <c r="K732" s="211"/>
      <c r="L732" s="211"/>
      <c r="M732" s="211"/>
      <c r="N732" s="213" t="s">
        <v>578</v>
      </c>
    </row>
    <row r="733" ht="18" customHeight="1" spans="1:14">
      <c r="A733" s="207"/>
      <c r="B733" s="210" t="s">
        <v>1752</v>
      </c>
      <c r="C733" s="211">
        <v>5.638</v>
      </c>
      <c r="D733" s="211">
        <f t="shared" si="17"/>
        <v>5.638</v>
      </c>
      <c r="E733" s="211">
        <v>5.638</v>
      </c>
      <c r="F733" s="211"/>
      <c r="G733" s="211"/>
      <c r="H733" s="211"/>
      <c r="I733" s="211"/>
      <c r="J733" s="211"/>
      <c r="K733" s="211"/>
      <c r="L733" s="211"/>
      <c r="M733" s="211"/>
      <c r="N733" s="213" t="s">
        <v>578</v>
      </c>
    </row>
    <row r="734" ht="18" customHeight="1" spans="1:14">
      <c r="A734" s="207">
        <v>605016</v>
      </c>
      <c r="B734" s="204" t="s">
        <v>762</v>
      </c>
      <c r="C734" s="205">
        <v>26.25</v>
      </c>
      <c r="D734" s="205">
        <f t="shared" si="17"/>
        <v>26.25</v>
      </c>
      <c r="E734" s="205"/>
      <c r="F734" s="205">
        <v>26.25</v>
      </c>
      <c r="G734" s="205"/>
      <c r="H734" s="205"/>
      <c r="I734" s="205"/>
      <c r="J734" s="205"/>
      <c r="K734" s="205"/>
      <c r="L734" s="205"/>
      <c r="M734" s="205"/>
      <c r="N734" s="213" t="s">
        <v>578</v>
      </c>
    </row>
    <row r="735" ht="18" customHeight="1" spans="1:14">
      <c r="A735" s="207"/>
      <c r="B735" s="210" t="s">
        <v>1753</v>
      </c>
      <c r="C735" s="211">
        <v>26.25</v>
      </c>
      <c r="D735" s="211">
        <f t="shared" si="17"/>
        <v>26.25</v>
      </c>
      <c r="E735" s="211"/>
      <c r="F735" s="211">
        <v>26.25</v>
      </c>
      <c r="G735" s="211"/>
      <c r="H735" s="211"/>
      <c r="I735" s="211"/>
      <c r="J735" s="211"/>
      <c r="K735" s="211"/>
      <c r="L735" s="211"/>
      <c r="M735" s="211"/>
      <c r="N735" s="213" t="s">
        <v>578</v>
      </c>
    </row>
    <row r="736" ht="18" customHeight="1" spans="1:14">
      <c r="A736" s="207">
        <v>605018</v>
      </c>
      <c r="B736" s="204" t="s">
        <v>764</v>
      </c>
      <c r="C736" s="205">
        <v>200</v>
      </c>
      <c r="D736" s="205">
        <f t="shared" si="17"/>
        <v>200</v>
      </c>
      <c r="E736" s="205"/>
      <c r="F736" s="205">
        <v>200</v>
      </c>
      <c r="G736" s="205"/>
      <c r="H736" s="205"/>
      <c r="I736" s="205"/>
      <c r="J736" s="205"/>
      <c r="K736" s="205"/>
      <c r="L736" s="205"/>
      <c r="M736" s="205"/>
      <c r="N736" s="213" t="s">
        <v>578</v>
      </c>
    </row>
    <row r="737" ht="18" customHeight="1" spans="1:14">
      <c r="A737" s="207"/>
      <c r="B737" s="210" t="s">
        <v>1754</v>
      </c>
      <c r="C737" s="211">
        <v>200</v>
      </c>
      <c r="D737" s="211">
        <f t="shared" si="17"/>
        <v>200</v>
      </c>
      <c r="E737" s="211"/>
      <c r="F737" s="211">
        <v>200</v>
      </c>
      <c r="G737" s="211"/>
      <c r="H737" s="211"/>
      <c r="I737" s="211"/>
      <c r="J737" s="211"/>
      <c r="K737" s="211"/>
      <c r="L737" s="211"/>
      <c r="M737" s="211"/>
      <c r="N737" s="213" t="s">
        <v>578</v>
      </c>
    </row>
    <row r="738" ht="18" customHeight="1" spans="1:14">
      <c r="A738" s="207">
        <v>605019</v>
      </c>
      <c r="B738" s="204" t="s">
        <v>765</v>
      </c>
      <c r="C738" s="205">
        <v>106.2</v>
      </c>
      <c r="D738" s="205">
        <f t="shared" si="17"/>
        <v>106.2</v>
      </c>
      <c r="E738" s="205"/>
      <c r="F738" s="205">
        <v>106.2</v>
      </c>
      <c r="G738" s="205"/>
      <c r="H738" s="205"/>
      <c r="I738" s="205"/>
      <c r="J738" s="205"/>
      <c r="K738" s="205"/>
      <c r="L738" s="205"/>
      <c r="M738" s="205"/>
      <c r="N738" s="213" t="s">
        <v>578</v>
      </c>
    </row>
    <row r="739" ht="18" customHeight="1" spans="1:14">
      <c r="A739" s="207"/>
      <c r="B739" s="210" t="s">
        <v>1754</v>
      </c>
      <c r="C739" s="211">
        <v>106.2</v>
      </c>
      <c r="D739" s="211">
        <f t="shared" si="17"/>
        <v>106.2</v>
      </c>
      <c r="E739" s="211"/>
      <c r="F739" s="211">
        <v>106.2</v>
      </c>
      <c r="G739" s="211"/>
      <c r="H739" s="211"/>
      <c r="I739" s="211"/>
      <c r="J739" s="211"/>
      <c r="K739" s="211"/>
      <c r="L739" s="211"/>
      <c r="M739" s="211"/>
      <c r="N739" s="213" t="s">
        <v>578</v>
      </c>
    </row>
    <row r="740" ht="18" customHeight="1" spans="1:14">
      <c r="A740" s="207">
        <v>605020</v>
      </c>
      <c r="B740" s="204" t="s">
        <v>766</v>
      </c>
      <c r="C740" s="205">
        <v>138</v>
      </c>
      <c r="D740" s="205">
        <f t="shared" si="17"/>
        <v>138</v>
      </c>
      <c r="E740" s="205"/>
      <c r="F740" s="205">
        <v>138</v>
      </c>
      <c r="G740" s="205"/>
      <c r="H740" s="205"/>
      <c r="I740" s="205"/>
      <c r="J740" s="205"/>
      <c r="K740" s="205"/>
      <c r="L740" s="205"/>
      <c r="M740" s="205"/>
      <c r="N740" s="213" t="s">
        <v>578</v>
      </c>
    </row>
    <row r="741" ht="18" customHeight="1" spans="1:14">
      <c r="A741" s="207"/>
      <c r="B741" s="210" t="s">
        <v>1754</v>
      </c>
      <c r="C741" s="211">
        <v>138</v>
      </c>
      <c r="D741" s="211">
        <f t="shared" si="17"/>
        <v>138</v>
      </c>
      <c r="E741" s="211"/>
      <c r="F741" s="211">
        <v>138</v>
      </c>
      <c r="G741" s="211"/>
      <c r="H741" s="211"/>
      <c r="I741" s="211"/>
      <c r="J741" s="211"/>
      <c r="K741" s="211"/>
      <c r="L741" s="211"/>
      <c r="M741" s="211"/>
      <c r="N741" s="213" t="s">
        <v>578</v>
      </c>
    </row>
    <row r="742" ht="18" customHeight="1" spans="1:14">
      <c r="A742" s="207">
        <v>605021</v>
      </c>
      <c r="B742" s="204" t="s">
        <v>767</v>
      </c>
      <c r="C742" s="205">
        <v>183</v>
      </c>
      <c r="D742" s="205">
        <f t="shared" si="17"/>
        <v>183</v>
      </c>
      <c r="E742" s="205"/>
      <c r="F742" s="205">
        <v>183</v>
      </c>
      <c r="G742" s="205"/>
      <c r="H742" s="205"/>
      <c r="I742" s="205"/>
      <c r="J742" s="205"/>
      <c r="K742" s="205"/>
      <c r="L742" s="205"/>
      <c r="M742" s="205"/>
      <c r="N742" s="213" t="s">
        <v>578</v>
      </c>
    </row>
    <row r="743" ht="18" customHeight="1" spans="1:14">
      <c r="A743" s="207"/>
      <c r="B743" s="210" t="s">
        <v>1755</v>
      </c>
      <c r="C743" s="211">
        <v>183</v>
      </c>
      <c r="D743" s="211">
        <f t="shared" si="17"/>
        <v>183</v>
      </c>
      <c r="E743" s="211"/>
      <c r="F743" s="211">
        <v>183</v>
      </c>
      <c r="G743" s="211"/>
      <c r="H743" s="211"/>
      <c r="I743" s="211"/>
      <c r="J743" s="211"/>
      <c r="K743" s="211"/>
      <c r="L743" s="211"/>
      <c r="M743" s="211"/>
      <c r="N743" s="213" t="s">
        <v>578</v>
      </c>
    </row>
    <row r="744" ht="18" customHeight="1" spans="1:14">
      <c r="A744" s="207">
        <v>605043</v>
      </c>
      <c r="B744" s="204" t="s">
        <v>789</v>
      </c>
      <c r="C744" s="205">
        <v>7.4</v>
      </c>
      <c r="D744" s="205">
        <f t="shared" si="17"/>
        <v>7.4</v>
      </c>
      <c r="E744" s="205"/>
      <c r="F744" s="205">
        <v>7.4</v>
      </c>
      <c r="G744" s="205"/>
      <c r="H744" s="205"/>
      <c r="I744" s="205"/>
      <c r="J744" s="205"/>
      <c r="K744" s="205"/>
      <c r="L744" s="205"/>
      <c r="M744" s="205"/>
      <c r="N744" s="213" t="s">
        <v>578</v>
      </c>
    </row>
    <row r="745" ht="18" customHeight="1" spans="1:14">
      <c r="A745" s="207"/>
      <c r="B745" s="210" t="s">
        <v>1756</v>
      </c>
      <c r="C745" s="211">
        <v>7.4</v>
      </c>
      <c r="D745" s="211">
        <f t="shared" si="17"/>
        <v>7.4</v>
      </c>
      <c r="E745" s="211"/>
      <c r="F745" s="211">
        <v>7.4</v>
      </c>
      <c r="G745" s="211"/>
      <c r="H745" s="211"/>
      <c r="I745" s="211"/>
      <c r="J745" s="211"/>
      <c r="K745" s="211"/>
      <c r="L745" s="211"/>
      <c r="M745" s="211"/>
      <c r="N745" s="213" t="s">
        <v>578</v>
      </c>
    </row>
    <row r="746" ht="18" customHeight="1" spans="1:14">
      <c r="A746" s="207">
        <v>605045</v>
      </c>
      <c r="B746" s="204" t="s">
        <v>791</v>
      </c>
      <c r="C746" s="205">
        <v>8</v>
      </c>
      <c r="D746" s="205">
        <f t="shared" si="17"/>
        <v>8</v>
      </c>
      <c r="E746" s="205"/>
      <c r="F746" s="205">
        <v>8</v>
      </c>
      <c r="G746" s="205"/>
      <c r="H746" s="205"/>
      <c r="I746" s="205"/>
      <c r="J746" s="205"/>
      <c r="K746" s="205"/>
      <c r="L746" s="205"/>
      <c r="M746" s="205"/>
      <c r="N746" s="213" t="s">
        <v>578</v>
      </c>
    </row>
    <row r="747" ht="18" customHeight="1" spans="1:14">
      <c r="A747" s="207"/>
      <c r="B747" s="210" t="s">
        <v>1756</v>
      </c>
      <c r="C747" s="211">
        <v>8</v>
      </c>
      <c r="D747" s="211">
        <f t="shared" si="17"/>
        <v>8</v>
      </c>
      <c r="E747" s="211"/>
      <c r="F747" s="211">
        <v>8</v>
      </c>
      <c r="G747" s="211"/>
      <c r="H747" s="211"/>
      <c r="I747" s="211"/>
      <c r="J747" s="211"/>
      <c r="K747" s="211"/>
      <c r="L747" s="211"/>
      <c r="M747" s="211"/>
      <c r="N747" s="213" t="s">
        <v>578</v>
      </c>
    </row>
    <row r="748" ht="18" customHeight="1" spans="1:14">
      <c r="A748" s="207">
        <v>605051</v>
      </c>
      <c r="B748" s="204" t="s">
        <v>797</v>
      </c>
      <c r="C748" s="205">
        <v>135</v>
      </c>
      <c r="D748" s="205">
        <f t="shared" si="17"/>
        <v>135</v>
      </c>
      <c r="E748" s="205"/>
      <c r="F748" s="205">
        <v>135</v>
      </c>
      <c r="G748" s="205"/>
      <c r="H748" s="205"/>
      <c r="I748" s="205"/>
      <c r="J748" s="205"/>
      <c r="K748" s="205"/>
      <c r="L748" s="205"/>
      <c r="M748" s="205"/>
      <c r="N748" s="213" t="s">
        <v>578</v>
      </c>
    </row>
    <row r="749" ht="18" customHeight="1" spans="1:14">
      <c r="A749" s="207"/>
      <c r="B749" s="210" t="s">
        <v>1749</v>
      </c>
      <c r="C749" s="211">
        <v>135</v>
      </c>
      <c r="D749" s="211">
        <f t="shared" si="17"/>
        <v>135</v>
      </c>
      <c r="E749" s="211"/>
      <c r="F749" s="211">
        <v>135</v>
      </c>
      <c r="G749" s="211"/>
      <c r="H749" s="211"/>
      <c r="I749" s="211"/>
      <c r="J749" s="211"/>
      <c r="K749" s="211"/>
      <c r="L749" s="211"/>
      <c r="M749" s="211"/>
      <c r="N749" s="213" t="s">
        <v>578</v>
      </c>
    </row>
    <row r="750" ht="18" customHeight="1" spans="1:14">
      <c r="A750" s="207">
        <v>605052</v>
      </c>
      <c r="B750" s="204" t="s">
        <v>798</v>
      </c>
      <c r="C750" s="205">
        <v>55.5</v>
      </c>
      <c r="D750" s="205">
        <f t="shared" si="17"/>
        <v>55.5</v>
      </c>
      <c r="E750" s="205"/>
      <c r="F750" s="205">
        <v>55.5</v>
      </c>
      <c r="G750" s="205"/>
      <c r="H750" s="205"/>
      <c r="I750" s="205"/>
      <c r="J750" s="205"/>
      <c r="K750" s="205"/>
      <c r="L750" s="205"/>
      <c r="M750" s="205"/>
      <c r="N750" s="213" t="s">
        <v>578</v>
      </c>
    </row>
    <row r="751" ht="18" customHeight="1" spans="1:14">
      <c r="A751" s="207"/>
      <c r="B751" s="210" t="s">
        <v>1749</v>
      </c>
      <c r="C751" s="211">
        <v>55.5</v>
      </c>
      <c r="D751" s="211">
        <f t="shared" si="17"/>
        <v>55.5</v>
      </c>
      <c r="E751" s="211"/>
      <c r="F751" s="211">
        <v>55.5</v>
      </c>
      <c r="G751" s="211"/>
      <c r="H751" s="211"/>
      <c r="I751" s="211"/>
      <c r="J751" s="211"/>
      <c r="K751" s="211"/>
      <c r="L751" s="211"/>
      <c r="M751" s="211"/>
      <c r="N751" s="213" t="s">
        <v>578</v>
      </c>
    </row>
    <row r="752" ht="18" customHeight="1" spans="1:14">
      <c r="A752" s="207">
        <v>606001</v>
      </c>
      <c r="B752" s="204" t="s">
        <v>1757</v>
      </c>
      <c r="C752" s="205">
        <v>120</v>
      </c>
      <c r="D752" s="205">
        <f t="shared" si="17"/>
        <v>120</v>
      </c>
      <c r="E752" s="205">
        <v>120</v>
      </c>
      <c r="F752" s="205"/>
      <c r="G752" s="205"/>
      <c r="H752" s="205"/>
      <c r="I752" s="205"/>
      <c r="J752" s="205"/>
      <c r="K752" s="205"/>
      <c r="L752" s="205"/>
      <c r="M752" s="205"/>
      <c r="N752" s="213" t="s">
        <v>578</v>
      </c>
    </row>
    <row r="753" ht="18" customHeight="1" spans="1:14">
      <c r="A753" s="207"/>
      <c r="B753" s="210" t="s">
        <v>1758</v>
      </c>
      <c r="C753" s="211">
        <v>70</v>
      </c>
      <c r="D753" s="211">
        <f t="shared" si="17"/>
        <v>70</v>
      </c>
      <c r="E753" s="211">
        <v>70</v>
      </c>
      <c r="F753" s="211"/>
      <c r="G753" s="211"/>
      <c r="H753" s="211"/>
      <c r="I753" s="211"/>
      <c r="J753" s="211"/>
      <c r="K753" s="211"/>
      <c r="L753" s="211"/>
      <c r="M753" s="211"/>
      <c r="N753" s="213" t="s">
        <v>578</v>
      </c>
    </row>
    <row r="754" ht="18" customHeight="1" spans="1:14">
      <c r="A754" s="207"/>
      <c r="B754" s="210" t="s">
        <v>1759</v>
      </c>
      <c r="C754" s="211">
        <v>50</v>
      </c>
      <c r="D754" s="211">
        <f t="shared" si="17"/>
        <v>50</v>
      </c>
      <c r="E754" s="211">
        <v>50</v>
      </c>
      <c r="F754" s="211"/>
      <c r="G754" s="211"/>
      <c r="H754" s="211"/>
      <c r="I754" s="211"/>
      <c r="J754" s="211"/>
      <c r="K754" s="211"/>
      <c r="L754" s="211"/>
      <c r="M754" s="211"/>
      <c r="N754" s="213" t="s">
        <v>578</v>
      </c>
    </row>
    <row r="755" ht="18" customHeight="1" spans="1:14">
      <c r="A755" s="207">
        <v>607001</v>
      </c>
      <c r="B755" s="204" t="s">
        <v>800</v>
      </c>
      <c r="C755" s="205">
        <v>77</v>
      </c>
      <c r="D755" s="205">
        <f t="shared" si="17"/>
        <v>77</v>
      </c>
      <c r="E755" s="205">
        <v>77</v>
      </c>
      <c r="F755" s="205"/>
      <c r="G755" s="205"/>
      <c r="H755" s="205"/>
      <c r="I755" s="205"/>
      <c r="J755" s="205"/>
      <c r="K755" s="205"/>
      <c r="L755" s="205"/>
      <c r="M755" s="205"/>
      <c r="N755" s="213" t="s">
        <v>578</v>
      </c>
    </row>
    <row r="756" ht="18" customHeight="1" spans="1:14">
      <c r="A756" s="207"/>
      <c r="B756" s="210" t="s">
        <v>1760</v>
      </c>
      <c r="C756" s="211">
        <v>77</v>
      </c>
      <c r="D756" s="211">
        <f t="shared" si="17"/>
        <v>77</v>
      </c>
      <c r="E756" s="211">
        <v>77</v>
      </c>
      <c r="F756" s="211"/>
      <c r="G756" s="211"/>
      <c r="H756" s="211"/>
      <c r="I756" s="211"/>
      <c r="J756" s="211"/>
      <c r="K756" s="211"/>
      <c r="L756" s="211"/>
      <c r="M756" s="211"/>
      <c r="N756" s="213" t="s">
        <v>578</v>
      </c>
    </row>
    <row r="757" ht="18" customHeight="1" spans="1:14">
      <c r="A757" s="207">
        <v>608001</v>
      </c>
      <c r="B757" s="204" t="s">
        <v>801</v>
      </c>
      <c r="C757" s="205">
        <v>320</v>
      </c>
      <c r="D757" s="205">
        <f t="shared" si="17"/>
        <v>320</v>
      </c>
      <c r="E757" s="205">
        <v>320</v>
      </c>
      <c r="F757" s="205"/>
      <c r="G757" s="205"/>
      <c r="H757" s="205"/>
      <c r="I757" s="205"/>
      <c r="J757" s="205"/>
      <c r="K757" s="205"/>
      <c r="L757" s="205"/>
      <c r="M757" s="205"/>
      <c r="N757" s="213" t="s">
        <v>578</v>
      </c>
    </row>
    <row r="758" ht="18" customHeight="1" spans="1:14">
      <c r="A758" s="207"/>
      <c r="B758" s="210" t="s">
        <v>1761</v>
      </c>
      <c r="C758" s="211">
        <v>20</v>
      </c>
      <c r="D758" s="211">
        <f t="shared" si="17"/>
        <v>20</v>
      </c>
      <c r="E758" s="211">
        <v>20</v>
      </c>
      <c r="F758" s="211"/>
      <c r="G758" s="211"/>
      <c r="H758" s="211"/>
      <c r="I758" s="211"/>
      <c r="J758" s="211"/>
      <c r="K758" s="211"/>
      <c r="L758" s="211"/>
      <c r="M758" s="211"/>
      <c r="N758" s="213" t="s">
        <v>578</v>
      </c>
    </row>
    <row r="759" ht="18" customHeight="1" spans="1:14">
      <c r="A759" s="207"/>
      <c r="B759" s="210" t="s">
        <v>1762</v>
      </c>
      <c r="C759" s="211">
        <v>100</v>
      </c>
      <c r="D759" s="211">
        <f t="shared" si="17"/>
        <v>100</v>
      </c>
      <c r="E759" s="211">
        <v>100</v>
      </c>
      <c r="F759" s="211"/>
      <c r="G759" s="211"/>
      <c r="H759" s="211"/>
      <c r="I759" s="211"/>
      <c r="J759" s="211"/>
      <c r="K759" s="211"/>
      <c r="L759" s="211"/>
      <c r="M759" s="211"/>
      <c r="N759" s="213" t="s">
        <v>578</v>
      </c>
    </row>
    <row r="760" ht="18" customHeight="1" spans="1:14">
      <c r="A760" s="207"/>
      <c r="B760" s="210" t="s">
        <v>1763</v>
      </c>
      <c r="C760" s="211">
        <v>100</v>
      </c>
      <c r="D760" s="211">
        <f t="shared" si="17"/>
        <v>100</v>
      </c>
      <c r="E760" s="211">
        <v>100</v>
      </c>
      <c r="F760" s="211"/>
      <c r="G760" s="211"/>
      <c r="H760" s="211"/>
      <c r="I760" s="211"/>
      <c r="J760" s="211"/>
      <c r="K760" s="211"/>
      <c r="L760" s="211"/>
      <c r="M760" s="211"/>
      <c r="N760" s="213" t="s">
        <v>578</v>
      </c>
    </row>
    <row r="761" ht="18" customHeight="1" spans="1:14">
      <c r="A761" s="207"/>
      <c r="B761" s="210" t="s">
        <v>1764</v>
      </c>
      <c r="C761" s="211">
        <v>100</v>
      </c>
      <c r="D761" s="211">
        <f t="shared" si="17"/>
        <v>100</v>
      </c>
      <c r="E761" s="211">
        <v>100</v>
      </c>
      <c r="F761" s="211"/>
      <c r="G761" s="211"/>
      <c r="H761" s="211"/>
      <c r="I761" s="211"/>
      <c r="J761" s="211"/>
      <c r="K761" s="211"/>
      <c r="L761" s="211"/>
      <c r="M761" s="211"/>
      <c r="N761" s="213" t="s">
        <v>578</v>
      </c>
    </row>
    <row r="762" ht="18" customHeight="1" spans="1:14">
      <c r="A762" s="207">
        <v>609001</v>
      </c>
      <c r="B762" s="204" t="s">
        <v>1765</v>
      </c>
      <c r="C762" s="205">
        <v>164.6</v>
      </c>
      <c r="D762" s="205">
        <f t="shared" si="17"/>
        <v>164.6</v>
      </c>
      <c r="E762" s="205">
        <v>164.6</v>
      </c>
      <c r="F762" s="205"/>
      <c r="G762" s="205"/>
      <c r="H762" s="205"/>
      <c r="I762" s="205"/>
      <c r="J762" s="205"/>
      <c r="K762" s="205"/>
      <c r="L762" s="205"/>
      <c r="M762" s="205"/>
      <c r="N762" s="213" t="s">
        <v>578</v>
      </c>
    </row>
    <row r="763" ht="18" customHeight="1" spans="1:14">
      <c r="A763" s="207"/>
      <c r="B763" s="210" t="s">
        <v>1766</v>
      </c>
      <c r="C763" s="211">
        <v>30</v>
      </c>
      <c r="D763" s="211">
        <f t="shared" si="17"/>
        <v>30</v>
      </c>
      <c r="E763" s="211">
        <v>30</v>
      </c>
      <c r="F763" s="211"/>
      <c r="G763" s="211"/>
      <c r="H763" s="211"/>
      <c r="I763" s="211"/>
      <c r="J763" s="211"/>
      <c r="K763" s="211"/>
      <c r="L763" s="211"/>
      <c r="M763" s="211"/>
      <c r="N763" s="213" t="s">
        <v>578</v>
      </c>
    </row>
    <row r="764" ht="18" customHeight="1" spans="1:14">
      <c r="A764" s="207"/>
      <c r="B764" s="210" t="s">
        <v>1767</v>
      </c>
      <c r="C764" s="211">
        <v>3</v>
      </c>
      <c r="D764" s="211">
        <f t="shared" si="17"/>
        <v>3</v>
      </c>
      <c r="E764" s="211">
        <v>3</v>
      </c>
      <c r="F764" s="211"/>
      <c r="G764" s="211"/>
      <c r="H764" s="211"/>
      <c r="I764" s="211"/>
      <c r="J764" s="211"/>
      <c r="K764" s="211"/>
      <c r="L764" s="211"/>
      <c r="M764" s="211"/>
      <c r="N764" s="213" t="s">
        <v>578</v>
      </c>
    </row>
    <row r="765" ht="18" customHeight="1" spans="1:14">
      <c r="A765" s="207"/>
      <c r="B765" s="210" t="s">
        <v>1768</v>
      </c>
      <c r="C765" s="211">
        <v>3</v>
      </c>
      <c r="D765" s="211">
        <f t="shared" si="17"/>
        <v>3</v>
      </c>
      <c r="E765" s="211">
        <v>3</v>
      </c>
      <c r="F765" s="211"/>
      <c r="G765" s="211"/>
      <c r="H765" s="211"/>
      <c r="I765" s="211"/>
      <c r="J765" s="211"/>
      <c r="K765" s="211"/>
      <c r="L765" s="211"/>
      <c r="M765" s="211"/>
      <c r="N765" s="213" t="s">
        <v>578</v>
      </c>
    </row>
    <row r="766" ht="18" customHeight="1" spans="1:14">
      <c r="A766" s="207"/>
      <c r="B766" s="210" t="s">
        <v>1769</v>
      </c>
      <c r="C766" s="211">
        <v>9</v>
      </c>
      <c r="D766" s="211">
        <f t="shared" si="17"/>
        <v>9</v>
      </c>
      <c r="E766" s="211">
        <v>9</v>
      </c>
      <c r="F766" s="211"/>
      <c r="G766" s="211"/>
      <c r="H766" s="211"/>
      <c r="I766" s="211"/>
      <c r="J766" s="211"/>
      <c r="K766" s="211"/>
      <c r="L766" s="211"/>
      <c r="M766" s="211"/>
      <c r="N766" s="213" t="s">
        <v>578</v>
      </c>
    </row>
    <row r="767" ht="18" customHeight="1" spans="1:14">
      <c r="A767" s="207"/>
      <c r="B767" s="210" t="s">
        <v>1770</v>
      </c>
      <c r="C767" s="211">
        <v>20</v>
      </c>
      <c r="D767" s="211">
        <f t="shared" si="17"/>
        <v>20</v>
      </c>
      <c r="E767" s="211">
        <v>20</v>
      </c>
      <c r="F767" s="211"/>
      <c r="G767" s="211"/>
      <c r="H767" s="211"/>
      <c r="I767" s="211"/>
      <c r="J767" s="211"/>
      <c r="K767" s="211"/>
      <c r="L767" s="211"/>
      <c r="M767" s="211"/>
      <c r="N767" s="213" t="s">
        <v>578</v>
      </c>
    </row>
    <row r="768" ht="18" customHeight="1" spans="1:14">
      <c r="A768" s="207"/>
      <c r="B768" s="210" t="s">
        <v>1771</v>
      </c>
      <c r="C768" s="211">
        <v>36.6</v>
      </c>
      <c r="D768" s="211">
        <f t="shared" si="17"/>
        <v>36.6</v>
      </c>
      <c r="E768" s="211">
        <v>36.6</v>
      </c>
      <c r="F768" s="211"/>
      <c r="G768" s="211"/>
      <c r="H768" s="211"/>
      <c r="I768" s="211"/>
      <c r="J768" s="211"/>
      <c r="K768" s="211"/>
      <c r="L768" s="211"/>
      <c r="M768" s="211"/>
      <c r="N768" s="213" t="s">
        <v>578</v>
      </c>
    </row>
    <row r="769" ht="18" customHeight="1" spans="1:14">
      <c r="A769" s="207"/>
      <c r="B769" s="210" t="s">
        <v>1772</v>
      </c>
      <c r="C769" s="211">
        <v>40</v>
      </c>
      <c r="D769" s="211">
        <f t="shared" si="17"/>
        <v>40</v>
      </c>
      <c r="E769" s="211">
        <v>40</v>
      </c>
      <c r="F769" s="211"/>
      <c r="G769" s="211"/>
      <c r="H769" s="211"/>
      <c r="I769" s="211"/>
      <c r="J769" s="211"/>
      <c r="K769" s="211"/>
      <c r="L769" s="211"/>
      <c r="M769" s="211"/>
      <c r="N769" s="213" t="s">
        <v>578</v>
      </c>
    </row>
    <row r="770" ht="18" customHeight="1" spans="1:14">
      <c r="A770" s="207"/>
      <c r="B770" s="210" t="s">
        <v>1773</v>
      </c>
      <c r="C770" s="211">
        <v>3</v>
      </c>
      <c r="D770" s="211">
        <f t="shared" si="17"/>
        <v>3</v>
      </c>
      <c r="E770" s="211">
        <v>3</v>
      </c>
      <c r="F770" s="211"/>
      <c r="G770" s="211"/>
      <c r="H770" s="211"/>
      <c r="I770" s="211"/>
      <c r="J770" s="211"/>
      <c r="K770" s="211"/>
      <c r="L770" s="211"/>
      <c r="M770" s="211"/>
      <c r="N770" s="213" t="s">
        <v>578</v>
      </c>
    </row>
    <row r="771" ht="18" customHeight="1" spans="1:14">
      <c r="A771" s="207"/>
      <c r="B771" s="210" t="s">
        <v>1774</v>
      </c>
      <c r="C771" s="211">
        <v>20</v>
      </c>
      <c r="D771" s="211">
        <f t="shared" si="17"/>
        <v>20</v>
      </c>
      <c r="E771" s="211">
        <v>20</v>
      </c>
      <c r="F771" s="211"/>
      <c r="G771" s="211"/>
      <c r="H771" s="211"/>
      <c r="I771" s="211"/>
      <c r="J771" s="211"/>
      <c r="K771" s="211"/>
      <c r="L771" s="211"/>
      <c r="M771" s="211"/>
      <c r="N771" s="213" t="s">
        <v>578</v>
      </c>
    </row>
    <row r="772" ht="18" customHeight="1" spans="1:14">
      <c r="A772" s="207">
        <v>610001</v>
      </c>
      <c r="B772" s="204" t="s">
        <v>805</v>
      </c>
      <c r="C772" s="205">
        <v>19</v>
      </c>
      <c r="D772" s="205">
        <f t="shared" si="17"/>
        <v>19</v>
      </c>
      <c r="E772" s="205">
        <v>19</v>
      </c>
      <c r="F772" s="205"/>
      <c r="G772" s="205"/>
      <c r="H772" s="205"/>
      <c r="I772" s="205"/>
      <c r="J772" s="205"/>
      <c r="K772" s="205"/>
      <c r="L772" s="205"/>
      <c r="M772" s="205"/>
      <c r="N772" s="213" t="s">
        <v>578</v>
      </c>
    </row>
    <row r="773" ht="18" customHeight="1" spans="1:14">
      <c r="A773" s="207"/>
      <c r="B773" s="210" t="s">
        <v>1775</v>
      </c>
      <c r="C773" s="211">
        <v>7</v>
      </c>
      <c r="D773" s="211">
        <f t="shared" si="17"/>
        <v>7</v>
      </c>
      <c r="E773" s="211">
        <v>7</v>
      </c>
      <c r="F773" s="211"/>
      <c r="G773" s="211"/>
      <c r="H773" s="211"/>
      <c r="I773" s="211"/>
      <c r="J773" s="211"/>
      <c r="K773" s="211"/>
      <c r="L773" s="211"/>
      <c r="M773" s="211"/>
      <c r="N773" s="213" t="s">
        <v>578</v>
      </c>
    </row>
    <row r="774" ht="18" customHeight="1" spans="1:14">
      <c r="A774" s="207"/>
      <c r="B774" s="210" t="s">
        <v>1776</v>
      </c>
      <c r="C774" s="211">
        <v>12</v>
      </c>
      <c r="D774" s="211">
        <f t="shared" si="17"/>
        <v>12</v>
      </c>
      <c r="E774" s="211">
        <v>12</v>
      </c>
      <c r="F774" s="211"/>
      <c r="G774" s="211"/>
      <c r="H774" s="211"/>
      <c r="I774" s="211"/>
      <c r="J774" s="211"/>
      <c r="K774" s="211"/>
      <c r="L774" s="211"/>
      <c r="M774" s="211"/>
      <c r="N774" s="213" t="s">
        <v>578</v>
      </c>
    </row>
    <row r="775" ht="18" customHeight="1" spans="1:14">
      <c r="A775" s="207"/>
      <c r="B775" s="204" t="s">
        <v>806</v>
      </c>
      <c r="C775" s="205">
        <v>9203.27</v>
      </c>
      <c r="D775" s="205">
        <v>9203.27</v>
      </c>
      <c r="E775" s="205">
        <v>9203.27</v>
      </c>
      <c r="F775" s="205"/>
      <c r="G775" s="205"/>
      <c r="H775" s="205"/>
      <c r="I775" s="205"/>
      <c r="J775" s="205">
        <v>0</v>
      </c>
      <c r="K775" s="205">
        <v>0</v>
      </c>
      <c r="L775" s="205">
        <v>0</v>
      </c>
      <c r="M775" s="205"/>
      <c r="N775" s="213" t="s">
        <v>578</v>
      </c>
    </row>
    <row r="776" ht="18" customHeight="1" spans="1:14">
      <c r="A776" s="207">
        <v>801001</v>
      </c>
      <c r="B776" s="204" t="s">
        <v>807</v>
      </c>
      <c r="C776" s="205">
        <v>205</v>
      </c>
      <c r="D776" s="205">
        <f t="shared" ref="D776:D796" si="18">E776+F776</f>
        <v>205</v>
      </c>
      <c r="E776" s="205">
        <v>205</v>
      </c>
      <c r="F776" s="205"/>
      <c r="G776" s="205"/>
      <c r="H776" s="205"/>
      <c r="I776" s="205"/>
      <c r="J776" s="205"/>
      <c r="K776" s="205"/>
      <c r="L776" s="205"/>
      <c r="M776" s="205"/>
      <c r="N776" s="213" t="s">
        <v>578</v>
      </c>
    </row>
    <row r="777" ht="18" customHeight="1" spans="1:14">
      <c r="A777" s="207"/>
      <c r="B777" s="210" t="s">
        <v>1777</v>
      </c>
      <c r="C777" s="211">
        <v>4</v>
      </c>
      <c r="D777" s="211">
        <f t="shared" si="18"/>
        <v>4</v>
      </c>
      <c r="E777" s="211">
        <v>4</v>
      </c>
      <c r="F777" s="211"/>
      <c r="G777" s="211"/>
      <c r="H777" s="211"/>
      <c r="I777" s="211"/>
      <c r="J777" s="211"/>
      <c r="K777" s="211"/>
      <c r="L777" s="211"/>
      <c r="M777" s="211"/>
      <c r="N777" s="213" t="s">
        <v>578</v>
      </c>
    </row>
    <row r="778" ht="18" customHeight="1" spans="1:14">
      <c r="A778" s="207"/>
      <c r="B778" s="210" t="s">
        <v>1778</v>
      </c>
      <c r="C778" s="211">
        <v>25</v>
      </c>
      <c r="D778" s="211">
        <f t="shared" si="18"/>
        <v>25</v>
      </c>
      <c r="E778" s="211">
        <v>25</v>
      </c>
      <c r="F778" s="211"/>
      <c r="G778" s="211"/>
      <c r="H778" s="211"/>
      <c r="I778" s="211"/>
      <c r="J778" s="211"/>
      <c r="K778" s="211"/>
      <c r="L778" s="211"/>
      <c r="M778" s="211"/>
      <c r="N778" s="213" t="s">
        <v>578</v>
      </c>
    </row>
    <row r="779" ht="18" customHeight="1" spans="1:14">
      <c r="A779" s="207"/>
      <c r="B779" s="210" t="s">
        <v>1779</v>
      </c>
      <c r="C779" s="211">
        <v>15</v>
      </c>
      <c r="D779" s="211">
        <f t="shared" si="18"/>
        <v>15</v>
      </c>
      <c r="E779" s="211">
        <v>15</v>
      </c>
      <c r="F779" s="211"/>
      <c r="G779" s="211"/>
      <c r="H779" s="211"/>
      <c r="I779" s="211"/>
      <c r="J779" s="211"/>
      <c r="K779" s="211"/>
      <c r="L779" s="211"/>
      <c r="M779" s="211"/>
      <c r="N779" s="213" t="s">
        <v>578</v>
      </c>
    </row>
    <row r="780" ht="18" customHeight="1" spans="1:14">
      <c r="A780" s="207"/>
      <c r="B780" s="210" t="s">
        <v>1780</v>
      </c>
      <c r="C780" s="211">
        <v>40</v>
      </c>
      <c r="D780" s="211">
        <f t="shared" si="18"/>
        <v>40</v>
      </c>
      <c r="E780" s="211">
        <v>40</v>
      </c>
      <c r="F780" s="211"/>
      <c r="G780" s="211"/>
      <c r="H780" s="211"/>
      <c r="I780" s="211"/>
      <c r="J780" s="211"/>
      <c r="K780" s="211"/>
      <c r="L780" s="211"/>
      <c r="M780" s="211"/>
      <c r="N780" s="213" t="s">
        <v>578</v>
      </c>
    </row>
    <row r="781" ht="18" customHeight="1" spans="1:14">
      <c r="A781" s="207"/>
      <c r="B781" s="210" t="s">
        <v>1781</v>
      </c>
      <c r="C781" s="211">
        <v>20</v>
      </c>
      <c r="D781" s="211">
        <f t="shared" si="18"/>
        <v>20</v>
      </c>
      <c r="E781" s="211">
        <v>20</v>
      </c>
      <c r="F781" s="211"/>
      <c r="G781" s="211"/>
      <c r="H781" s="211"/>
      <c r="I781" s="211"/>
      <c r="J781" s="211"/>
      <c r="K781" s="211"/>
      <c r="L781" s="211"/>
      <c r="M781" s="211"/>
      <c r="N781" s="213" t="s">
        <v>578</v>
      </c>
    </row>
    <row r="782" ht="18" customHeight="1" spans="1:14">
      <c r="A782" s="207"/>
      <c r="B782" s="210" t="s">
        <v>1782</v>
      </c>
      <c r="C782" s="211">
        <v>23</v>
      </c>
      <c r="D782" s="211">
        <f t="shared" si="18"/>
        <v>23</v>
      </c>
      <c r="E782" s="211">
        <v>23</v>
      </c>
      <c r="F782" s="211"/>
      <c r="G782" s="211"/>
      <c r="H782" s="211"/>
      <c r="I782" s="211"/>
      <c r="J782" s="211"/>
      <c r="K782" s="211"/>
      <c r="L782" s="211"/>
      <c r="M782" s="211"/>
      <c r="N782" s="213" t="s">
        <v>578</v>
      </c>
    </row>
    <row r="783" ht="18" customHeight="1" spans="1:14">
      <c r="A783" s="207"/>
      <c r="B783" s="210" t="s">
        <v>1783</v>
      </c>
      <c r="C783" s="211">
        <v>3</v>
      </c>
      <c r="D783" s="211">
        <f t="shared" si="18"/>
        <v>3</v>
      </c>
      <c r="E783" s="211">
        <v>3</v>
      </c>
      <c r="F783" s="211"/>
      <c r="G783" s="211"/>
      <c r="H783" s="211"/>
      <c r="I783" s="211"/>
      <c r="J783" s="211"/>
      <c r="K783" s="211"/>
      <c r="L783" s="211"/>
      <c r="M783" s="211"/>
      <c r="N783" s="213" t="s">
        <v>578</v>
      </c>
    </row>
    <row r="784" ht="18" customHeight="1" spans="1:14">
      <c r="A784" s="207"/>
      <c r="B784" s="210" t="s">
        <v>1784</v>
      </c>
      <c r="C784" s="211">
        <v>75</v>
      </c>
      <c r="D784" s="211">
        <f t="shared" si="18"/>
        <v>75</v>
      </c>
      <c r="E784" s="211">
        <v>75</v>
      </c>
      <c r="F784" s="211"/>
      <c r="G784" s="211"/>
      <c r="H784" s="211"/>
      <c r="I784" s="211"/>
      <c r="J784" s="211"/>
      <c r="K784" s="211"/>
      <c r="L784" s="211"/>
      <c r="M784" s="211"/>
      <c r="N784" s="213" t="s">
        <v>578</v>
      </c>
    </row>
    <row r="785" ht="18" customHeight="1" spans="1:14">
      <c r="A785" s="207">
        <v>802001</v>
      </c>
      <c r="B785" s="204" t="s">
        <v>808</v>
      </c>
      <c r="C785" s="205">
        <v>1998.27</v>
      </c>
      <c r="D785" s="205">
        <f t="shared" si="18"/>
        <v>1998.27</v>
      </c>
      <c r="E785" s="205">
        <v>1998.27</v>
      </c>
      <c r="F785" s="205"/>
      <c r="G785" s="205"/>
      <c r="H785" s="205"/>
      <c r="I785" s="205"/>
      <c r="J785" s="205"/>
      <c r="K785" s="205"/>
      <c r="L785" s="205"/>
      <c r="M785" s="205"/>
      <c r="N785" s="213" t="s">
        <v>578</v>
      </c>
    </row>
    <row r="786" ht="18" customHeight="1" spans="1:14">
      <c r="A786" s="207"/>
      <c r="B786" s="210" t="s">
        <v>1785</v>
      </c>
      <c r="C786" s="211">
        <v>340.48</v>
      </c>
      <c r="D786" s="211">
        <f t="shared" si="18"/>
        <v>340.48</v>
      </c>
      <c r="E786" s="211">
        <v>340.48</v>
      </c>
      <c r="F786" s="211"/>
      <c r="G786" s="211"/>
      <c r="H786" s="211"/>
      <c r="I786" s="211"/>
      <c r="J786" s="211"/>
      <c r="K786" s="211"/>
      <c r="L786" s="211"/>
      <c r="M786" s="211"/>
      <c r="N786" s="213" t="s">
        <v>578</v>
      </c>
    </row>
    <row r="787" ht="18" customHeight="1" spans="1:14">
      <c r="A787" s="207"/>
      <c r="B787" s="210" t="s">
        <v>1786</v>
      </c>
      <c r="C787" s="211">
        <v>300</v>
      </c>
      <c r="D787" s="211">
        <f t="shared" si="18"/>
        <v>300</v>
      </c>
      <c r="E787" s="211">
        <v>300</v>
      </c>
      <c r="F787" s="211"/>
      <c r="G787" s="211"/>
      <c r="H787" s="211"/>
      <c r="I787" s="211"/>
      <c r="J787" s="211"/>
      <c r="K787" s="211"/>
      <c r="L787" s="211"/>
      <c r="M787" s="211"/>
      <c r="N787" s="213" t="s">
        <v>578</v>
      </c>
    </row>
    <row r="788" ht="18" customHeight="1" spans="1:14">
      <c r="A788" s="207"/>
      <c r="B788" s="210" t="s">
        <v>1787</v>
      </c>
      <c r="C788" s="211">
        <v>488</v>
      </c>
      <c r="D788" s="211">
        <f t="shared" si="18"/>
        <v>488</v>
      </c>
      <c r="E788" s="211">
        <v>488</v>
      </c>
      <c r="F788" s="211"/>
      <c r="G788" s="211"/>
      <c r="H788" s="211"/>
      <c r="I788" s="211"/>
      <c r="J788" s="211"/>
      <c r="K788" s="211"/>
      <c r="L788" s="211"/>
      <c r="M788" s="211"/>
      <c r="N788" s="213" t="s">
        <v>578</v>
      </c>
    </row>
    <row r="789" ht="18" customHeight="1" spans="1:14">
      <c r="A789" s="207"/>
      <c r="B789" s="210" t="s">
        <v>1788</v>
      </c>
      <c r="C789" s="211">
        <v>469.79</v>
      </c>
      <c r="D789" s="211">
        <f t="shared" si="18"/>
        <v>469.79</v>
      </c>
      <c r="E789" s="211">
        <v>469.79</v>
      </c>
      <c r="F789" s="211"/>
      <c r="G789" s="211"/>
      <c r="H789" s="211"/>
      <c r="I789" s="211"/>
      <c r="J789" s="211"/>
      <c r="K789" s="211"/>
      <c r="L789" s="211"/>
      <c r="M789" s="211"/>
      <c r="N789" s="213" t="s">
        <v>578</v>
      </c>
    </row>
    <row r="790" ht="18" customHeight="1" spans="1:14">
      <c r="A790" s="207"/>
      <c r="B790" s="210" t="s">
        <v>1789</v>
      </c>
      <c r="C790" s="211">
        <v>400</v>
      </c>
      <c r="D790" s="211">
        <f t="shared" si="18"/>
        <v>400</v>
      </c>
      <c r="E790" s="211">
        <v>400</v>
      </c>
      <c r="F790" s="211"/>
      <c r="G790" s="211"/>
      <c r="H790" s="211"/>
      <c r="I790" s="211"/>
      <c r="J790" s="211"/>
      <c r="K790" s="211"/>
      <c r="L790" s="211"/>
      <c r="M790" s="211"/>
      <c r="N790" s="213" t="s">
        <v>578</v>
      </c>
    </row>
    <row r="791" ht="18" customHeight="1" spans="1:14">
      <c r="A791" s="207">
        <v>899001</v>
      </c>
      <c r="B791" s="204" t="s">
        <v>1790</v>
      </c>
      <c r="C791" s="205">
        <v>7000</v>
      </c>
      <c r="D791" s="205">
        <f t="shared" si="18"/>
        <v>7000</v>
      </c>
      <c r="E791" s="205">
        <v>7000</v>
      </c>
      <c r="F791" s="205"/>
      <c r="G791" s="205"/>
      <c r="H791" s="205"/>
      <c r="I791" s="205"/>
      <c r="J791" s="205"/>
      <c r="K791" s="205"/>
      <c r="L791" s="205"/>
      <c r="M791" s="205"/>
      <c r="N791" s="213" t="s">
        <v>578</v>
      </c>
    </row>
    <row r="792" ht="18" customHeight="1" spans="1:14">
      <c r="A792" s="207"/>
      <c r="B792" s="210" t="s">
        <v>1791</v>
      </c>
      <c r="C792" s="211">
        <v>1200</v>
      </c>
      <c r="D792" s="211">
        <f t="shared" si="18"/>
        <v>1200</v>
      </c>
      <c r="E792" s="211">
        <v>1200</v>
      </c>
      <c r="F792" s="211"/>
      <c r="G792" s="211"/>
      <c r="H792" s="211"/>
      <c r="I792" s="211"/>
      <c r="J792" s="211"/>
      <c r="K792" s="211"/>
      <c r="L792" s="211"/>
      <c r="M792" s="211"/>
      <c r="N792" s="213" t="s">
        <v>578</v>
      </c>
    </row>
    <row r="793" ht="18" customHeight="1" spans="1:14">
      <c r="A793" s="207"/>
      <c r="B793" s="210" t="s">
        <v>1792</v>
      </c>
      <c r="C793" s="211">
        <v>1014</v>
      </c>
      <c r="D793" s="211">
        <f t="shared" si="18"/>
        <v>1014</v>
      </c>
      <c r="E793" s="211">
        <v>1014</v>
      </c>
      <c r="F793" s="211"/>
      <c r="G793" s="211"/>
      <c r="H793" s="211"/>
      <c r="I793" s="211"/>
      <c r="J793" s="211"/>
      <c r="K793" s="211"/>
      <c r="L793" s="211"/>
      <c r="M793" s="211"/>
      <c r="N793" s="213" t="s">
        <v>578</v>
      </c>
    </row>
    <row r="794" ht="18" customHeight="1" spans="1:14">
      <c r="A794" s="207"/>
      <c r="B794" s="210" t="s">
        <v>1793</v>
      </c>
      <c r="C794" s="211">
        <v>2815</v>
      </c>
      <c r="D794" s="211">
        <f t="shared" si="18"/>
        <v>2815</v>
      </c>
      <c r="E794" s="211">
        <v>2815</v>
      </c>
      <c r="F794" s="211"/>
      <c r="G794" s="211"/>
      <c r="H794" s="211"/>
      <c r="I794" s="211"/>
      <c r="J794" s="211"/>
      <c r="K794" s="211"/>
      <c r="L794" s="211"/>
      <c r="M794" s="211"/>
      <c r="N794" s="213" t="s">
        <v>578</v>
      </c>
    </row>
    <row r="795" ht="18" customHeight="1" spans="1:14">
      <c r="A795" s="207"/>
      <c r="B795" s="210" t="s">
        <v>1794</v>
      </c>
      <c r="C795" s="211">
        <v>1440</v>
      </c>
      <c r="D795" s="211">
        <f t="shared" si="18"/>
        <v>1440</v>
      </c>
      <c r="E795" s="211">
        <v>1440</v>
      </c>
      <c r="F795" s="211"/>
      <c r="G795" s="211"/>
      <c r="H795" s="211"/>
      <c r="I795" s="211"/>
      <c r="J795" s="211"/>
      <c r="K795" s="211"/>
      <c r="L795" s="211"/>
      <c r="M795" s="211"/>
      <c r="N795" s="213" t="s">
        <v>578</v>
      </c>
    </row>
    <row r="796" ht="18" customHeight="1" spans="1:14">
      <c r="A796" s="207"/>
      <c r="B796" s="210" t="s">
        <v>1795</v>
      </c>
      <c r="C796" s="211">
        <v>531</v>
      </c>
      <c r="D796" s="211">
        <f t="shared" si="18"/>
        <v>531</v>
      </c>
      <c r="E796" s="211">
        <v>531</v>
      </c>
      <c r="F796" s="211"/>
      <c r="G796" s="211"/>
      <c r="H796" s="211"/>
      <c r="I796" s="211"/>
      <c r="J796" s="211"/>
      <c r="K796" s="211"/>
      <c r="L796" s="211"/>
      <c r="M796" s="211"/>
      <c r="N796" s="213" t="s">
        <v>578</v>
      </c>
    </row>
    <row r="797" ht="18" customHeight="1" spans="1:14">
      <c r="A797" s="207"/>
      <c r="B797" s="204" t="s">
        <v>810</v>
      </c>
      <c r="C797" s="205">
        <f t="shared" ref="C797:F797" si="19">SUM(C798,C810,C847,C870,C891,C939,C961,C989,C1020,C1046,C1071,C1102,C1130,C1154,C1162,C1181)</f>
        <v>118993.8814</v>
      </c>
      <c r="D797" s="205">
        <f t="shared" si="19"/>
        <v>118993.8814</v>
      </c>
      <c r="E797" s="205">
        <f t="shared" si="19"/>
        <v>69313.6214</v>
      </c>
      <c r="F797" s="205">
        <f t="shared" si="19"/>
        <v>49680.26</v>
      </c>
      <c r="G797" s="211"/>
      <c r="H797" s="211"/>
      <c r="I797" s="211"/>
      <c r="J797" s="211"/>
      <c r="K797" s="211"/>
      <c r="L797" s="211"/>
      <c r="M797" s="211"/>
      <c r="N797" s="213" t="s">
        <v>578</v>
      </c>
    </row>
    <row r="798" ht="18" hidden="1" customHeight="1" spans="1:14">
      <c r="A798" s="207"/>
      <c r="B798" s="215" t="s">
        <v>811</v>
      </c>
      <c r="C798" s="205">
        <f t="shared" ref="C798:F798" si="20">C799+C807</f>
        <v>833.176</v>
      </c>
      <c r="D798" s="205">
        <f t="shared" si="20"/>
        <v>833.176</v>
      </c>
      <c r="E798" s="205">
        <f t="shared" si="20"/>
        <v>833.176</v>
      </c>
      <c r="F798" s="205">
        <f t="shared" si="20"/>
        <v>0</v>
      </c>
      <c r="G798" s="211"/>
      <c r="H798" s="211"/>
      <c r="I798" s="211"/>
      <c r="J798" s="211"/>
      <c r="K798" s="211"/>
      <c r="L798" s="211"/>
      <c r="M798" s="211"/>
      <c r="N798" s="213"/>
    </row>
    <row r="799" ht="18" hidden="1" customHeight="1" spans="1:14">
      <c r="A799" s="216">
        <v>806001</v>
      </c>
      <c r="B799" s="210" t="s">
        <v>1796</v>
      </c>
      <c r="C799" s="205">
        <v>811.476</v>
      </c>
      <c r="D799" s="205">
        <f t="shared" ref="D799:D809" si="21">E799+F799</f>
        <v>811.476</v>
      </c>
      <c r="E799" s="205">
        <v>811.476</v>
      </c>
      <c r="F799" s="205"/>
      <c r="G799" s="205"/>
      <c r="H799" s="205"/>
      <c r="I799" s="205"/>
      <c r="J799" s="205"/>
      <c r="K799" s="205"/>
      <c r="L799" s="205"/>
      <c r="M799" s="205"/>
      <c r="N799" s="213"/>
    </row>
    <row r="800" ht="18" hidden="1" customHeight="1" spans="1:14">
      <c r="A800" s="207"/>
      <c r="B800" s="210" t="s">
        <v>1797</v>
      </c>
      <c r="C800" s="211">
        <v>12.12</v>
      </c>
      <c r="D800" s="211">
        <f t="shared" si="21"/>
        <v>12.12</v>
      </c>
      <c r="E800" s="211">
        <v>12.12</v>
      </c>
      <c r="F800" s="211"/>
      <c r="G800" s="211"/>
      <c r="H800" s="211"/>
      <c r="I800" s="211"/>
      <c r="J800" s="211"/>
      <c r="K800" s="211"/>
      <c r="L800" s="211"/>
      <c r="M800" s="211"/>
      <c r="N800" s="213"/>
    </row>
    <row r="801" ht="18" hidden="1" customHeight="1" spans="1:14">
      <c r="A801" s="207"/>
      <c r="B801" s="210" t="s">
        <v>1798</v>
      </c>
      <c r="C801" s="211">
        <v>6.3</v>
      </c>
      <c r="D801" s="211">
        <f t="shared" si="21"/>
        <v>6.3</v>
      </c>
      <c r="E801" s="211">
        <v>6.3</v>
      </c>
      <c r="F801" s="211"/>
      <c r="G801" s="211"/>
      <c r="H801" s="211"/>
      <c r="I801" s="211"/>
      <c r="J801" s="211"/>
      <c r="K801" s="211"/>
      <c r="L801" s="211"/>
      <c r="M801" s="211"/>
      <c r="N801" s="213"/>
    </row>
    <row r="802" ht="18" hidden="1" customHeight="1" spans="1:14">
      <c r="A802" s="207"/>
      <c r="B802" s="210" t="s">
        <v>1799</v>
      </c>
      <c r="C802" s="211">
        <v>19.2</v>
      </c>
      <c r="D802" s="211">
        <f t="shared" si="21"/>
        <v>19.2</v>
      </c>
      <c r="E802" s="211">
        <v>19.2</v>
      </c>
      <c r="F802" s="211"/>
      <c r="G802" s="211"/>
      <c r="H802" s="211"/>
      <c r="I802" s="211"/>
      <c r="J802" s="211"/>
      <c r="K802" s="211"/>
      <c r="L802" s="211"/>
      <c r="M802" s="211"/>
      <c r="N802" s="213"/>
    </row>
    <row r="803" ht="18" hidden="1" customHeight="1" spans="1:14">
      <c r="A803" s="207"/>
      <c r="B803" s="210" t="s">
        <v>1800</v>
      </c>
      <c r="C803" s="211">
        <v>0.336</v>
      </c>
      <c r="D803" s="211">
        <f t="shared" si="21"/>
        <v>0.336</v>
      </c>
      <c r="E803" s="211">
        <v>0.336</v>
      </c>
      <c r="F803" s="211"/>
      <c r="G803" s="211"/>
      <c r="H803" s="211"/>
      <c r="I803" s="211"/>
      <c r="J803" s="211"/>
      <c r="K803" s="211"/>
      <c r="L803" s="211"/>
      <c r="M803" s="211"/>
      <c r="N803" s="213"/>
    </row>
    <row r="804" ht="18" hidden="1" customHeight="1" spans="1:14">
      <c r="A804" s="207"/>
      <c r="B804" s="210" t="s">
        <v>1801</v>
      </c>
      <c r="C804" s="211">
        <v>442.55</v>
      </c>
      <c r="D804" s="211">
        <f t="shared" si="21"/>
        <v>442.55</v>
      </c>
      <c r="E804" s="211">
        <v>442.55</v>
      </c>
      <c r="F804" s="211"/>
      <c r="G804" s="211"/>
      <c r="H804" s="211"/>
      <c r="I804" s="211"/>
      <c r="J804" s="211"/>
      <c r="K804" s="211"/>
      <c r="L804" s="211"/>
      <c r="M804" s="211"/>
      <c r="N804" s="213"/>
    </row>
    <row r="805" ht="18" hidden="1" customHeight="1" spans="1:14">
      <c r="A805" s="207"/>
      <c r="B805" s="210" t="s">
        <v>1802</v>
      </c>
      <c r="C805" s="211">
        <v>5</v>
      </c>
      <c r="D805" s="211">
        <f t="shared" si="21"/>
        <v>5</v>
      </c>
      <c r="E805" s="211">
        <v>5</v>
      </c>
      <c r="F805" s="211"/>
      <c r="G805" s="211"/>
      <c r="H805" s="211"/>
      <c r="I805" s="211"/>
      <c r="J805" s="211"/>
      <c r="K805" s="211"/>
      <c r="L805" s="211"/>
      <c r="M805" s="211"/>
      <c r="N805" s="213"/>
    </row>
    <row r="806" ht="18" hidden="1" customHeight="1" spans="1:14">
      <c r="A806" s="207"/>
      <c r="B806" s="210" t="s">
        <v>1803</v>
      </c>
      <c r="C806" s="211">
        <v>325.97</v>
      </c>
      <c r="D806" s="211">
        <f t="shared" si="21"/>
        <v>325.97</v>
      </c>
      <c r="E806" s="211">
        <v>325.97</v>
      </c>
      <c r="F806" s="211"/>
      <c r="G806" s="211"/>
      <c r="H806" s="211"/>
      <c r="I806" s="211"/>
      <c r="J806" s="211"/>
      <c r="K806" s="211"/>
      <c r="L806" s="211"/>
      <c r="M806" s="211"/>
      <c r="N806" s="213"/>
    </row>
    <row r="807" ht="18" hidden="1" customHeight="1" spans="1:14">
      <c r="A807" s="216">
        <v>806002</v>
      </c>
      <c r="B807" s="210" t="s">
        <v>1804</v>
      </c>
      <c r="C807" s="205">
        <v>21.7</v>
      </c>
      <c r="D807" s="205">
        <f t="shared" si="21"/>
        <v>21.7</v>
      </c>
      <c r="E807" s="205">
        <v>21.7</v>
      </c>
      <c r="F807" s="205"/>
      <c r="G807" s="205"/>
      <c r="H807" s="205"/>
      <c r="I807" s="205"/>
      <c r="J807" s="205"/>
      <c r="K807" s="205"/>
      <c r="L807" s="205"/>
      <c r="M807" s="205"/>
      <c r="N807" s="213"/>
    </row>
    <row r="808" ht="18" hidden="1" customHeight="1" spans="1:14">
      <c r="A808" s="207"/>
      <c r="B808" s="210" t="s">
        <v>1805</v>
      </c>
      <c r="C808" s="211">
        <v>8</v>
      </c>
      <c r="D808" s="211">
        <f t="shared" si="21"/>
        <v>8</v>
      </c>
      <c r="E808" s="211">
        <v>8</v>
      </c>
      <c r="F808" s="211"/>
      <c r="G808" s="211"/>
      <c r="H808" s="211"/>
      <c r="I808" s="211"/>
      <c r="J808" s="211"/>
      <c r="K808" s="211"/>
      <c r="L808" s="211"/>
      <c r="M808" s="211"/>
      <c r="N808" s="213"/>
    </row>
    <row r="809" ht="18" hidden="1" customHeight="1" spans="1:14">
      <c r="A809" s="207"/>
      <c r="B809" s="210" t="s">
        <v>1806</v>
      </c>
      <c r="C809" s="211">
        <v>13.7</v>
      </c>
      <c r="D809" s="211">
        <f t="shared" si="21"/>
        <v>13.7</v>
      </c>
      <c r="E809" s="211">
        <v>13.7</v>
      </c>
      <c r="F809" s="211"/>
      <c r="G809" s="211"/>
      <c r="H809" s="211"/>
      <c r="I809" s="211"/>
      <c r="J809" s="211"/>
      <c r="K809" s="211"/>
      <c r="L809" s="211"/>
      <c r="M809" s="211"/>
      <c r="N809" s="213"/>
    </row>
    <row r="810" ht="18" hidden="1" customHeight="1" spans="1:14">
      <c r="A810" s="207"/>
      <c r="B810" s="215" t="s">
        <v>822</v>
      </c>
      <c r="C810" s="205">
        <f t="shared" ref="C810:F810" si="22">C811+C840+C843+C845</f>
        <v>20485.58</v>
      </c>
      <c r="D810" s="205">
        <f t="shared" si="22"/>
        <v>20485.58</v>
      </c>
      <c r="E810" s="205">
        <f t="shared" si="22"/>
        <v>7481.58</v>
      </c>
      <c r="F810" s="205">
        <f t="shared" si="22"/>
        <v>13004</v>
      </c>
      <c r="G810" s="211"/>
      <c r="H810" s="211"/>
      <c r="I810" s="211"/>
      <c r="J810" s="211"/>
      <c r="K810" s="211"/>
      <c r="L810" s="211"/>
      <c r="M810" s="211"/>
      <c r="N810" s="213"/>
    </row>
    <row r="811" ht="18" hidden="1" customHeight="1" spans="1:14">
      <c r="A811" s="216">
        <v>807001</v>
      </c>
      <c r="B811" s="210" t="s">
        <v>1807</v>
      </c>
      <c r="C811" s="205">
        <v>19668.58</v>
      </c>
      <c r="D811" s="205">
        <f t="shared" ref="D811:D846" si="23">E811+F811</f>
        <v>19668.58</v>
      </c>
      <c r="E811" s="205">
        <v>6664.58</v>
      </c>
      <c r="F811" s="205">
        <v>13004</v>
      </c>
      <c r="G811" s="205"/>
      <c r="H811" s="205"/>
      <c r="I811" s="205"/>
      <c r="J811" s="205"/>
      <c r="K811" s="205"/>
      <c r="L811" s="205"/>
      <c r="M811" s="205"/>
      <c r="N811" s="213"/>
    </row>
    <row r="812" ht="18" hidden="1" customHeight="1" spans="1:14">
      <c r="A812" s="207"/>
      <c r="B812" s="210" t="s">
        <v>1808</v>
      </c>
      <c r="C812" s="211">
        <v>10.5</v>
      </c>
      <c r="D812" s="211">
        <f t="shared" si="23"/>
        <v>10.5</v>
      </c>
      <c r="E812" s="211">
        <v>10.5</v>
      </c>
      <c r="F812" s="211"/>
      <c r="G812" s="211"/>
      <c r="H812" s="211"/>
      <c r="I812" s="211"/>
      <c r="J812" s="211"/>
      <c r="K812" s="211"/>
      <c r="L812" s="211"/>
      <c r="M812" s="211"/>
      <c r="N812" s="213"/>
    </row>
    <row r="813" ht="18" hidden="1" customHeight="1" spans="1:14">
      <c r="A813" s="207"/>
      <c r="B813" s="210" t="s">
        <v>1809</v>
      </c>
      <c r="C813" s="211">
        <v>800</v>
      </c>
      <c r="D813" s="211">
        <f t="shared" si="23"/>
        <v>800</v>
      </c>
      <c r="E813" s="211">
        <v>800</v>
      </c>
      <c r="F813" s="211"/>
      <c r="G813" s="211"/>
      <c r="H813" s="211"/>
      <c r="I813" s="211"/>
      <c r="J813" s="211"/>
      <c r="K813" s="211"/>
      <c r="L813" s="211"/>
      <c r="M813" s="211"/>
      <c r="N813" s="213"/>
    </row>
    <row r="814" ht="18" hidden="1" customHeight="1" spans="1:14">
      <c r="A814" s="207"/>
      <c r="B814" s="210" t="s">
        <v>1810</v>
      </c>
      <c r="C814" s="211">
        <v>100</v>
      </c>
      <c r="D814" s="211">
        <f t="shared" si="23"/>
        <v>100</v>
      </c>
      <c r="E814" s="211"/>
      <c r="F814" s="211">
        <v>100</v>
      </c>
      <c r="G814" s="211"/>
      <c r="H814" s="211"/>
      <c r="I814" s="211"/>
      <c r="J814" s="211"/>
      <c r="K814" s="211"/>
      <c r="L814" s="211"/>
      <c r="M814" s="211"/>
      <c r="N814" s="213"/>
    </row>
    <row r="815" ht="18" hidden="1" customHeight="1" spans="1:14">
      <c r="A815" s="207"/>
      <c r="B815" s="210" t="s">
        <v>1811</v>
      </c>
      <c r="C815" s="211">
        <v>160</v>
      </c>
      <c r="D815" s="211">
        <f t="shared" si="23"/>
        <v>160</v>
      </c>
      <c r="E815" s="211">
        <v>160</v>
      </c>
      <c r="F815" s="211"/>
      <c r="G815" s="211"/>
      <c r="H815" s="211"/>
      <c r="I815" s="211"/>
      <c r="J815" s="211"/>
      <c r="K815" s="211"/>
      <c r="L815" s="211"/>
      <c r="M815" s="211"/>
      <c r="N815" s="213"/>
    </row>
    <row r="816" ht="18" hidden="1" customHeight="1" spans="1:14">
      <c r="A816" s="207"/>
      <c r="B816" s="210" t="s">
        <v>1812</v>
      </c>
      <c r="C816" s="211">
        <v>240</v>
      </c>
      <c r="D816" s="211">
        <f t="shared" si="23"/>
        <v>240</v>
      </c>
      <c r="E816" s="211">
        <v>240</v>
      </c>
      <c r="F816" s="211"/>
      <c r="G816" s="211"/>
      <c r="H816" s="211"/>
      <c r="I816" s="211"/>
      <c r="J816" s="211"/>
      <c r="K816" s="211"/>
      <c r="L816" s="211"/>
      <c r="M816" s="211"/>
      <c r="N816" s="213"/>
    </row>
    <row r="817" ht="18" hidden="1" customHeight="1" spans="1:14">
      <c r="A817" s="207"/>
      <c r="B817" s="210" t="s">
        <v>1813</v>
      </c>
      <c r="C817" s="211">
        <v>400</v>
      </c>
      <c r="D817" s="211">
        <f t="shared" si="23"/>
        <v>400</v>
      </c>
      <c r="E817" s="211">
        <v>400</v>
      </c>
      <c r="F817" s="211"/>
      <c r="G817" s="211"/>
      <c r="H817" s="211"/>
      <c r="I817" s="211"/>
      <c r="J817" s="211"/>
      <c r="K817" s="211"/>
      <c r="L817" s="211"/>
      <c r="M817" s="211"/>
      <c r="N817" s="213"/>
    </row>
    <row r="818" ht="18" hidden="1" customHeight="1" spans="1:14">
      <c r="A818" s="207"/>
      <c r="B818" s="210" t="s">
        <v>1814</v>
      </c>
      <c r="C818" s="211">
        <v>300</v>
      </c>
      <c r="D818" s="211">
        <f t="shared" si="23"/>
        <v>300</v>
      </c>
      <c r="E818" s="211">
        <v>300</v>
      </c>
      <c r="F818" s="211"/>
      <c r="G818" s="211"/>
      <c r="H818" s="211"/>
      <c r="I818" s="211"/>
      <c r="J818" s="211"/>
      <c r="K818" s="211"/>
      <c r="L818" s="211"/>
      <c r="M818" s="211"/>
      <c r="N818" s="213"/>
    </row>
    <row r="819" ht="18" hidden="1" customHeight="1" spans="1:14">
      <c r="A819" s="207"/>
      <c r="B819" s="210" t="s">
        <v>1815</v>
      </c>
      <c r="C819" s="211">
        <v>1300</v>
      </c>
      <c r="D819" s="211">
        <f t="shared" si="23"/>
        <v>1300</v>
      </c>
      <c r="E819" s="211">
        <v>1300</v>
      </c>
      <c r="F819" s="211"/>
      <c r="G819" s="211"/>
      <c r="H819" s="211"/>
      <c r="I819" s="211"/>
      <c r="J819" s="211"/>
      <c r="K819" s="211"/>
      <c r="L819" s="211"/>
      <c r="M819" s="211"/>
      <c r="N819" s="213"/>
    </row>
    <row r="820" ht="18" hidden="1" customHeight="1" spans="1:14">
      <c r="A820" s="207"/>
      <c r="B820" s="210" t="s">
        <v>1802</v>
      </c>
      <c r="C820" s="211">
        <v>5</v>
      </c>
      <c r="D820" s="211">
        <f t="shared" si="23"/>
        <v>5</v>
      </c>
      <c r="E820" s="211">
        <v>5</v>
      </c>
      <c r="F820" s="211"/>
      <c r="G820" s="211"/>
      <c r="H820" s="211"/>
      <c r="I820" s="211"/>
      <c r="J820" s="211"/>
      <c r="K820" s="211"/>
      <c r="L820" s="211"/>
      <c r="M820" s="211"/>
      <c r="N820" s="213"/>
    </row>
    <row r="821" ht="18" hidden="1" customHeight="1" spans="1:14">
      <c r="A821" s="207"/>
      <c r="B821" s="210" t="s">
        <v>1816</v>
      </c>
      <c r="C821" s="211">
        <v>18</v>
      </c>
      <c r="D821" s="211">
        <f t="shared" si="23"/>
        <v>18</v>
      </c>
      <c r="E821" s="211"/>
      <c r="F821" s="211">
        <v>18</v>
      </c>
      <c r="G821" s="211"/>
      <c r="H821" s="211"/>
      <c r="I821" s="211"/>
      <c r="J821" s="211"/>
      <c r="K821" s="211"/>
      <c r="L821" s="211"/>
      <c r="M821" s="211"/>
      <c r="N821" s="213"/>
    </row>
    <row r="822" ht="18" hidden="1" customHeight="1" spans="1:14">
      <c r="A822" s="207"/>
      <c r="B822" s="210" t="s">
        <v>1801</v>
      </c>
      <c r="C822" s="211">
        <v>460.51</v>
      </c>
      <c r="D822" s="211">
        <f t="shared" si="23"/>
        <v>460.51</v>
      </c>
      <c r="E822" s="211">
        <v>460.51</v>
      </c>
      <c r="F822" s="211"/>
      <c r="G822" s="211"/>
      <c r="H822" s="211"/>
      <c r="I822" s="211"/>
      <c r="J822" s="211"/>
      <c r="K822" s="211"/>
      <c r="L822" s="211"/>
      <c r="M822" s="211"/>
      <c r="N822" s="213"/>
    </row>
    <row r="823" ht="18" hidden="1" customHeight="1" spans="1:14">
      <c r="A823" s="207"/>
      <c r="B823" s="210" t="s">
        <v>1817</v>
      </c>
      <c r="C823" s="211">
        <v>120</v>
      </c>
      <c r="D823" s="211">
        <f t="shared" si="23"/>
        <v>120</v>
      </c>
      <c r="E823" s="211">
        <v>120</v>
      </c>
      <c r="F823" s="211"/>
      <c r="G823" s="211"/>
      <c r="H823" s="211"/>
      <c r="I823" s="211"/>
      <c r="J823" s="211"/>
      <c r="K823" s="211"/>
      <c r="L823" s="211"/>
      <c r="M823" s="211"/>
      <c r="N823" s="213"/>
    </row>
    <row r="824" ht="18" hidden="1" customHeight="1" spans="1:14">
      <c r="A824" s="207"/>
      <c r="B824" s="210" t="s">
        <v>1818</v>
      </c>
      <c r="C824" s="211">
        <v>350</v>
      </c>
      <c r="D824" s="211">
        <f t="shared" si="23"/>
        <v>350</v>
      </c>
      <c r="E824" s="211">
        <v>350</v>
      </c>
      <c r="F824" s="211"/>
      <c r="G824" s="211"/>
      <c r="H824" s="211"/>
      <c r="I824" s="211"/>
      <c r="J824" s="211"/>
      <c r="K824" s="211"/>
      <c r="L824" s="211"/>
      <c r="M824" s="211"/>
      <c r="N824" s="213"/>
    </row>
    <row r="825" ht="18" hidden="1" customHeight="1" spans="1:14">
      <c r="A825" s="207"/>
      <c r="B825" s="210" t="s">
        <v>1819</v>
      </c>
      <c r="C825" s="211">
        <v>17.5</v>
      </c>
      <c r="D825" s="211">
        <f t="shared" si="23"/>
        <v>17.5</v>
      </c>
      <c r="E825" s="211">
        <v>17.5</v>
      </c>
      <c r="F825" s="211"/>
      <c r="G825" s="211"/>
      <c r="H825" s="211"/>
      <c r="I825" s="211"/>
      <c r="J825" s="211"/>
      <c r="K825" s="211"/>
      <c r="L825" s="211"/>
      <c r="M825" s="211"/>
      <c r="N825" s="213"/>
    </row>
    <row r="826" ht="18" hidden="1" customHeight="1" spans="1:14">
      <c r="A826" s="207"/>
      <c r="B826" s="210" t="s">
        <v>1820</v>
      </c>
      <c r="C826" s="211">
        <v>83.87</v>
      </c>
      <c r="D826" s="211">
        <f t="shared" si="23"/>
        <v>83.87</v>
      </c>
      <c r="E826" s="211">
        <v>83.87</v>
      </c>
      <c r="F826" s="211"/>
      <c r="G826" s="211"/>
      <c r="H826" s="211"/>
      <c r="I826" s="211"/>
      <c r="J826" s="211"/>
      <c r="K826" s="211"/>
      <c r="L826" s="211"/>
      <c r="M826" s="211"/>
      <c r="N826" s="213"/>
    </row>
    <row r="827" ht="18" hidden="1" customHeight="1" spans="1:14">
      <c r="A827" s="207"/>
      <c r="B827" s="210" t="s">
        <v>1797</v>
      </c>
      <c r="C827" s="211">
        <v>18.96</v>
      </c>
      <c r="D827" s="211">
        <f t="shared" si="23"/>
        <v>18.96</v>
      </c>
      <c r="E827" s="211">
        <v>18.96</v>
      </c>
      <c r="F827" s="211"/>
      <c r="G827" s="211"/>
      <c r="H827" s="211"/>
      <c r="I827" s="211"/>
      <c r="J827" s="211"/>
      <c r="K827" s="211"/>
      <c r="L827" s="211"/>
      <c r="M827" s="211"/>
      <c r="N827" s="213"/>
    </row>
    <row r="828" ht="18" hidden="1" customHeight="1" spans="1:14">
      <c r="A828" s="207"/>
      <c r="B828" s="210" t="s">
        <v>1821</v>
      </c>
      <c r="C828" s="211">
        <v>7</v>
      </c>
      <c r="D828" s="211">
        <f t="shared" si="23"/>
        <v>7</v>
      </c>
      <c r="E828" s="211">
        <v>7</v>
      </c>
      <c r="F828" s="211"/>
      <c r="G828" s="211"/>
      <c r="H828" s="211"/>
      <c r="I828" s="211"/>
      <c r="J828" s="211"/>
      <c r="K828" s="211"/>
      <c r="L828" s="211"/>
      <c r="M828" s="211"/>
      <c r="N828" s="213"/>
    </row>
    <row r="829" ht="18" hidden="1" customHeight="1" spans="1:14">
      <c r="A829" s="207"/>
      <c r="B829" s="210" t="s">
        <v>1822</v>
      </c>
      <c r="C829" s="211">
        <v>6.12</v>
      </c>
      <c r="D829" s="211">
        <f t="shared" si="23"/>
        <v>6.12</v>
      </c>
      <c r="E829" s="211">
        <v>6.12</v>
      </c>
      <c r="F829" s="211"/>
      <c r="G829" s="211"/>
      <c r="H829" s="211"/>
      <c r="I829" s="211"/>
      <c r="J829" s="211"/>
      <c r="K829" s="211"/>
      <c r="L829" s="211"/>
      <c r="M829" s="211"/>
      <c r="N829" s="213"/>
    </row>
    <row r="830" ht="18" hidden="1" customHeight="1" spans="1:14">
      <c r="A830" s="207"/>
      <c r="B830" s="210" t="s">
        <v>1799</v>
      </c>
      <c r="C830" s="211">
        <v>20.4</v>
      </c>
      <c r="D830" s="211">
        <f t="shared" si="23"/>
        <v>20.4</v>
      </c>
      <c r="E830" s="211">
        <v>20.4</v>
      </c>
      <c r="F830" s="211"/>
      <c r="G830" s="211"/>
      <c r="H830" s="211"/>
      <c r="I830" s="211"/>
      <c r="J830" s="211"/>
      <c r="K830" s="211"/>
      <c r="L830" s="211"/>
      <c r="M830" s="211"/>
      <c r="N830" s="213"/>
    </row>
    <row r="831" ht="18" hidden="1" customHeight="1" spans="1:14">
      <c r="A831" s="207"/>
      <c r="B831" s="210" t="s">
        <v>1823</v>
      </c>
      <c r="C831" s="211">
        <v>1.22</v>
      </c>
      <c r="D831" s="211">
        <f t="shared" si="23"/>
        <v>1.22</v>
      </c>
      <c r="E831" s="211">
        <v>1.22</v>
      </c>
      <c r="F831" s="211"/>
      <c r="G831" s="211"/>
      <c r="H831" s="211"/>
      <c r="I831" s="211"/>
      <c r="J831" s="211"/>
      <c r="K831" s="211"/>
      <c r="L831" s="211"/>
      <c r="M831" s="211"/>
      <c r="N831" s="213"/>
    </row>
    <row r="832" ht="18" hidden="1" customHeight="1" spans="1:14">
      <c r="A832" s="207"/>
      <c r="B832" s="210" t="s">
        <v>1824</v>
      </c>
      <c r="C832" s="211">
        <v>3.5</v>
      </c>
      <c r="D832" s="211">
        <f t="shared" si="23"/>
        <v>3.5</v>
      </c>
      <c r="E832" s="211">
        <v>3.5</v>
      </c>
      <c r="F832" s="211"/>
      <c r="G832" s="211"/>
      <c r="H832" s="211"/>
      <c r="I832" s="211"/>
      <c r="J832" s="211"/>
      <c r="K832" s="211"/>
      <c r="L832" s="211"/>
      <c r="M832" s="211"/>
      <c r="N832" s="213"/>
    </row>
    <row r="833" ht="18" hidden="1" customHeight="1" spans="1:14">
      <c r="A833" s="207"/>
      <c r="B833" s="210" t="s">
        <v>1825</v>
      </c>
      <c r="C833" s="211">
        <v>8000</v>
      </c>
      <c r="D833" s="211">
        <f t="shared" si="23"/>
        <v>8000</v>
      </c>
      <c r="E833" s="211"/>
      <c r="F833" s="211">
        <v>8000</v>
      </c>
      <c r="G833" s="211"/>
      <c r="H833" s="211"/>
      <c r="I833" s="211"/>
      <c r="J833" s="211"/>
      <c r="K833" s="211"/>
      <c r="L833" s="211"/>
      <c r="M833" s="211"/>
      <c r="N833" s="213"/>
    </row>
    <row r="834" ht="18" hidden="1" customHeight="1" spans="1:14">
      <c r="A834" s="207"/>
      <c r="B834" s="210" t="s">
        <v>1826</v>
      </c>
      <c r="C834" s="211">
        <v>50</v>
      </c>
      <c r="D834" s="211">
        <f t="shared" si="23"/>
        <v>50</v>
      </c>
      <c r="E834" s="211"/>
      <c r="F834" s="211">
        <v>50</v>
      </c>
      <c r="G834" s="211"/>
      <c r="H834" s="211"/>
      <c r="I834" s="211"/>
      <c r="J834" s="211"/>
      <c r="K834" s="211"/>
      <c r="L834" s="211"/>
      <c r="M834" s="211"/>
      <c r="N834" s="213"/>
    </row>
    <row r="835" ht="18" hidden="1" customHeight="1" spans="1:14">
      <c r="A835" s="207"/>
      <c r="B835" s="210" t="s">
        <v>1827</v>
      </c>
      <c r="C835" s="211">
        <v>110</v>
      </c>
      <c r="D835" s="211">
        <f t="shared" si="23"/>
        <v>110</v>
      </c>
      <c r="E835" s="211">
        <v>110</v>
      </c>
      <c r="F835" s="211"/>
      <c r="G835" s="211"/>
      <c r="H835" s="211"/>
      <c r="I835" s="211"/>
      <c r="J835" s="211"/>
      <c r="K835" s="211"/>
      <c r="L835" s="211"/>
      <c r="M835" s="211"/>
      <c r="N835" s="213"/>
    </row>
    <row r="836" ht="18" hidden="1" customHeight="1" spans="1:14">
      <c r="A836" s="207"/>
      <c r="B836" s="210" t="s">
        <v>1828</v>
      </c>
      <c r="C836" s="211">
        <v>36</v>
      </c>
      <c r="D836" s="211">
        <f t="shared" si="23"/>
        <v>36</v>
      </c>
      <c r="E836" s="211"/>
      <c r="F836" s="211">
        <v>36</v>
      </c>
      <c r="G836" s="211"/>
      <c r="H836" s="211"/>
      <c r="I836" s="211"/>
      <c r="J836" s="211"/>
      <c r="K836" s="211"/>
      <c r="L836" s="211"/>
      <c r="M836" s="211"/>
      <c r="N836" s="213"/>
    </row>
    <row r="837" ht="18" hidden="1" customHeight="1" spans="1:14">
      <c r="A837" s="207"/>
      <c r="B837" s="210" t="s">
        <v>1829</v>
      </c>
      <c r="C837" s="211">
        <v>4800</v>
      </c>
      <c r="D837" s="211">
        <f t="shared" si="23"/>
        <v>4800</v>
      </c>
      <c r="E837" s="211"/>
      <c r="F837" s="211">
        <v>4800</v>
      </c>
      <c r="G837" s="211"/>
      <c r="H837" s="211"/>
      <c r="I837" s="211"/>
      <c r="J837" s="211"/>
      <c r="K837" s="211"/>
      <c r="L837" s="211"/>
      <c r="M837" s="211"/>
      <c r="N837" s="213"/>
    </row>
    <row r="838" ht="18" hidden="1" customHeight="1" spans="1:14">
      <c r="A838" s="207"/>
      <c r="B838" s="210" t="s">
        <v>1830</v>
      </c>
      <c r="C838" s="211">
        <v>750</v>
      </c>
      <c r="D838" s="211">
        <f t="shared" si="23"/>
        <v>750</v>
      </c>
      <c r="E838" s="211">
        <v>750</v>
      </c>
      <c r="F838" s="211"/>
      <c r="G838" s="211"/>
      <c r="H838" s="211"/>
      <c r="I838" s="211"/>
      <c r="J838" s="211"/>
      <c r="K838" s="211"/>
      <c r="L838" s="211"/>
      <c r="M838" s="211"/>
      <c r="N838" s="213"/>
    </row>
    <row r="839" ht="18" hidden="1" customHeight="1" spans="1:14">
      <c r="A839" s="207"/>
      <c r="B839" s="210" t="s">
        <v>1831</v>
      </c>
      <c r="C839" s="211">
        <v>1500</v>
      </c>
      <c r="D839" s="211">
        <f t="shared" si="23"/>
        <v>1500</v>
      </c>
      <c r="E839" s="211">
        <v>1500</v>
      </c>
      <c r="F839" s="211"/>
      <c r="G839" s="211"/>
      <c r="H839" s="211"/>
      <c r="I839" s="211"/>
      <c r="J839" s="211"/>
      <c r="K839" s="211"/>
      <c r="L839" s="211"/>
      <c r="M839" s="211"/>
      <c r="N839" s="213"/>
    </row>
    <row r="840" ht="18" hidden="1" customHeight="1" spans="1:14">
      <c r="A840" s="216">
        <v>807002</v>
      </c>
      <c r="B840" s="210" t="s">
        <v>1832</v>
      </c>
      <c r="C840" s="205">
        <v>23</v>
      </c>
      <c r="D840" s="205">
        <f t="shared" si="23"/>
        <v>23</v>
      </c>
      <c r="E840" s="205">
        <v>23</v>
      </c>
      <c r="F840" s="205"/>
      <c r="G840" s="205"/>
      <c r="H840" s="205"/>
      <c r="I840" s="205"/>
      <c r="J840" s="205"/>
      <c r="K840" s="205"/>
      <c r="L840" s="205"/>
      <c r="M840" s="205"/>
      <c r="N840" s="213"/>
    </row>
    <row r="841" ht="18" hidden="1" customHeight="1" spans="1:14">
      <c r="A841" s="207"/>
      <c r="B841" s="210" t="s">
        <v>1806</v>
      </c>
      <c r="C841" s="211">
        <v>15</v>
      </c>
      <c r="D841" s="211">
        <f t="shared" si="23"/>
        <v>15</v>
      </c>
      <c r="E841" s="211">
        <v>15</v>
      </c>
      <c r="F841" s="211"/>
      <c r="G841" s="211"/>
      <c r="H841" s="211"/>
      <c r="I841" s="211"/>
      <c r="J841" s="211"/>
      <c r="K841" s="211"/>
      <c r="L841" s="211"/>
      <c r="M841" s="211"/>
      <c r="N841" s="213"/>
    </row>
    <row r="842" ht="18" hidden="1" customHeight="1" spans="1:14">
      <c r="A842" s="207"/>
      <c r="B842" s="210" t="s">
        <v>1805</v>
      </c>
      <c r="C842" s="211">
        <v>8</v>
      </c>
      <c r="D842" s="211">
        <f t="shared" si="23"/>
        <v>8</v>
      </c>
      <c r="E842" s="211">
        <v>8</v>
      </c>
      <c r="F842" s="211"/>
      <c r="G842" s="211"/>
      <c r="H842" s="211"/>
      <c r="I842" s="211"/>
      <c r="J842" s="211"/>
      <c r="K842" s="211"/>
      <c r="L842" s="211"/>
      <c r="M842" s="211"/>
      <c r="N842" s="213"/>
    </row>
    <row r="843" ht="18" hidden="1" customHeight="1" spans="1:14">
      <c r="A843" s="216">
        <v>807005</v>
      </c>
      <c r="B843" s="210" t="s">
        <v>1833</v>
      </c>
      <c r="C843" s="205">
        <v>194</v>
      </c>
      <c r="D843" s="205">
        <f t="shared" si="23"/>
        <v>194</v>
      </c>
      <c r="E843" s="205">
        <v>194</v>
      </c>
      <c r="F843" s="205"/>
      <c r="G843" s="205"/>
      <c r="H843" s="205"/>
      <c r="I843" s="205"/>
      <c r="J843" s="205"/>
      <c r="K843" s="205"/>
      <c r="L843" s="205"/>
      <c r="M843" s="205"/>
      <c r="N843" s="213"/>
    </row>
    <row r="844" ht="18" hidden="1" customHeight="1" spans="1:14">
      <c r="A844" s="207"/>
      <c r="B844" s="210" t="s">
        <v>1834</v>
      </c>
      <c r="C844" s="211">
        <v>194</v>
      </c>
      <c r="D844" s="211">
        <f t="shared" si="23"/>
        <v>194</v>
      </c>
      <c r="E844" s="211">
        <v>194</v>
      </c>
      <c r="F844" s="211"/>
      <c r="G844" s="211"/>
      <c r="H844" s="211"/>
      <c r="I844" s="211"/>
      <c r="J844" s="211"/>
      <c r="K844" s="211"/>
      <c r="L844" s="211"/>
      <c r="M844" s="211"/>
      <c r="N844" s="213"/>
    </row>
    <row r="845" ht="18" hidden="1" customHeight="1" spans="1:14">
      <c r="A845" s="216">
        <v>807006</v>
      </c>
      <c r="B845" s="210" t="s">
        <v>1835</v>
      </c>
      <c r="C845" s="205">
        <v>600</v>
      </c>
      <c r="D845" s="205">
        <f t="shared" si="23"/>
        <v>600</v>
      </c>
      <c r="E845" s="205">
        <v>600</v>
      </c>
      <c r="F845" s="205"/>
      <c r="G845" s="205"/>
      <c r="H845" s="205"/>
      <c r="I845" s="205"/>
      <c r="J845" s="205"/>
      <c r="K845" s="205"/>
      <c r="L845" s="205"/>
      <c r="M845" s="205"/>
      <c r="N845" s="213"/>
    </row>
    <row r="846" ht="18" hidden="1" customHeight="1" spans="1:14">
      <c r="A846" s="207"/>
      <c r="B846" s="210" t="s">
        <v>1836</v>
      </c>
      <c r="C846" s="211">
        <v>600</v>
      </c>
      <c r="D846" s="211">
        <f t="shared" si="23"/>
        <v>600</v>
      </c>
      <c r="E846" s="211">
        <v>600</v>
      </c>
      <c r="F846" s="211"/>
      <c r="G846" s="211"/>
      <c r="H846" s="211"/>
      <c r="I846" s="211"/>
      <c r="J846" s="211"/>
      <c r="K846" s="211"/>
      <c r="L846" s="211"/>
      <c r="M846" s="211"/>
      <c r="N846" s="213"/>
    </row>
    <row r="847" ht="18" hidden="1" customHeight="1" spans="1:14">
      <c r="A847" s="207"/>
      <c r="B847" s="215" t="s">
        <v>837</v>
      </c>
      <c r="C847" s="205">
        <f t="shared" ref="C847:F847" si="24">C848+C865+C868</f>
        <v>11862.18</v>
      </c>
      <c r="D847" s="205">
        <f t="shared" si="24"/>
        <v>11862.18</v>
      </c>
      <c r="E847" s="205">
        <f t="shared" si="24"/>
        <v>5862.18</v>
      </c>
      <c r="F847" s="205">
        <f t="shared" si="24"/>
        <v>6000</v>
      </c>
      <c r="G847" s="211"/>
      <c r="H847" s="211"/>
      <c r="I847" s="211"/>
      <c r="J847" s="211"/>
      <c r="K847" s="211"/>
      <c r="L847" s="211"/>
      <c r="M847" s="211"/>
      <c r="N847" s="213"/>
    </row>
    <row r="848" ht="18" hidden="1" customHeight="1" spans="1:14">
      <c r="A848" s="216">
        <v>808001</v>
      </c>
      <c r="B848" s="210" t="s">
        <v>1837</v>
      </c>
      <c r="C848" s="205">
        <v>11823.28</v>
      </c>
      <c r="D848" s="205">
        <f t="shared" ref="D848:D869" si="25">E848+F848</f>
        <v>11823.28</v>
      </c>
      <c r="E848" s="205">
        <v>5823.28</v>
      </c>
      <c r="F848" s="205">
        <v>6000</v>
      </c>
      <c r="G848" s="205"/>
      <c r="H848" s="205"/>
      <c r="I848" s="205"/>
      <c r="J848" s="205"/>
      <c r="K848" s="205"/>
      <c r="L848" s="205"/>
      <c r="M848" s="205"/>
      <c r="N848" s="213"/>
    </row>
    <row r="849" ht="18" hidden="1" customHeight="1" spans="1:14">
      <c r="A849" s="207"/>
      <c r="B849" s="210" t="s">
        <v>1838</v>
      </c>
      <c r="C849" s="211">
        <v>3.5</v>
      </c>
      <c r="D849" s="211">
        <f t="shared" si="25"/>
        <v>3.5</v>
      </c>
      <c r="E849" s="211">
        <v>3.5</v>
      </c>
      <c r="F849" s="211"/>
      <c r="G849" s="211"/>
      <c r="H849" s="211"/>
      <c r="I849" s="211"/>
      <c r="J849" s="211"/>
      <c r="K849" s="211"/>
      <c r="L849" s="211"/>
      <c r="M849" s="211"/>
      <c r="N849" s="213"/>
    </row>
    <row r="850" ht="18" hidden="1" customHeight="1" spans="1:14">
      <c r="A850" s="207"/>
      <c r="B850" s="210" t="s">
        <v>1839</v>
      </c>
      <c r="C850" s="211">
        <v>18</v>
      </c>
      <c r="D850" s="211">
        <f t="shared" si="25"/>
        <v>18</v>
      </c>
      <c r="E850" s="211">
        <v>18</v>
      </c>
      <c r="F850" s="211"/>
      <c r="G850" s="211"/>
      <c r="H850" s="211"/>
      <c r="I850" s="211"/>
      <c r="J850" s="211"/>
      <c r="K850" s="211"/>
      <c r="L850" s="211"/>
      <c r="M850" s="211"/>
      <c r="N850" s="213"/>
    </row>
    <row r="851" ht="18" hidden="1" customHeight="1" spans="1:14">
      <c r="A851" s="207"/>
      <c r="B851" s="210" t="s">
        <v>1801</v>
      </c>
      <c r="C851" s="211">
        <v>387.18</v>
      </c>
      <c r="D851" s="211">
        <f t="shared" si="25"/>
        <v>387.18</v>
      </c>
      <c r="E851" s="211">
        <v>387.18</v>
      </c>
      <c r="F851" s="211"/>
      <c r="G851" s="211"/>
      <c r="H851" s="211"/>
      <c r="I851" s="211"/>
      <c r="J851" s="211"/>
      <c r="K851" s="211"/>
      <c r="L851" s="211"/>
      <c r="M851" s="211"/>
      <c r="N851" s="213"/>
    </row>
    <row r="852" ht="18" hidden="1" customHeight="1" spans="1:14">
      <c r="A852" s="207"/>
      <c r="B852" s="210" t="s">
        <v>1797</v>
      </c>
      <c r="C852" s="211">
        <v>15.96</v>
      </c>
      <c r="D852" s="211">
        <f t="shared" si="25"/>
        <v>15.96</v>
      </c>
      <c r="E852" s="211">
        <v>15.96</v>
      </c>
      <c r="F852" s="211"/>
      <c r="G852" s="211"/>
      <c r="H852" s="211"/>
      <c r="I852" s="211"/>
      <c r="J852" s="211"/>
      <c r="K852" s="211"/>
      <c r="L852" s="211"/>
      <c r="M852" s="211"/>
      <c r="N852" s="213"/>
    </row>
    <row r="853" ht="18" hidden="1" customHeight="1" spans="1:14">
      <c r="A853" s="207"/>
      <c r="B853" s="210" t="s">
        <v>1840</v>
      </c>
      <c r="C853" s="211">
        <v>289.8</v>
      </c>
      <c r="D853" s="211">
        <f t="shared" si="25"/>
        <v>289.8</v>
      </c>
      <c r="E853" s="211">
        <v>289.8</v>
      </c>
      <c r="F853" s="211"/>
      <c r="G853" s="211"/>
      <c r="H853" s="211"/>
      <c r="I853" s="211"/>
      <c r="J853" s="211"/>
      <c r="K853" s="211"/>
      <c r="L853" s="211"/>
      <c r="M853" s="211"/>
      <c r="N853" s="213"/>
    </row>
    <row r="854" ht="18" hidden="1" customHeight="1" spans="1:14">
      <c r="A854" s="207"/>
      <c r="B854" s="210" t="s">
        <v>1841</v>
      </c>
      <c r="C854" s="211">
        <v>892.6</v>
      </c>
      <c r="D854" s="211">
        <f t="shared" si="25"/>
        <v>892.6</v>
      </c>
      <c r="E854" s="211">
        <v>892.6</v>
      </c>
      <c r="F854" s="211"/>
      <c r="G854" s="211"/>
      <c r="H854" s="211"/>
      <c r="I854" s="211"/>
      <c r="J854" s="211"/>
      <c r="K854" s="211"/>
      <c r="L854" s="211"/>
      <c r="M854" s="211"/>
      <c r="N854" s="213"/>
    </row>
    <row r="855" ht="18" hidden="1" customHeight="1" spans="1:14">
      <c r="A855" s="207"/>
      <c r="B855" s="210" t="s">
        <v>1821</v>
      </c>
      <c r="C855" s="211">
        <v>5</v>
      </c>
      <c r="D855" s="211">
        <f t="shared" si="25"/>
        <v>5</v>
      </c>
      <c r="E855" s="211">
        <v>5</v>
      </c>
      <c r="F855" s="211"/>
      <c r="G855" s="211"/>
      <c r="H855" s="211"/>
      <c r="I855" s="211"/>
      <c r="J855" s="211"/>
      <c r="K855" s="211"/>
      <c r="L855" s="211"/>
      <c r="M855" s="211"/>
      <c r="N855" s="213"/>
    </row>
    <row r="856" ht="18" hidden="1" customHeight="1" spans="1:14">
      <c r="A856" s="207"/>
      <c r="B856" s="210" t="s">
        <v>1842</v>
      </c>
      <c r="C856" s="211">
        <v>5.4</v>
      </c>
      <c r="D856" s="211">
        <f t="shared" si="25"/>
        <v>5.4</v>
      </c>
      <c r="E856" s="211">
        <v>5.4</v>
      </c>
      <c r="F856" s="211"/>
      <c r="G856" s="211"/>
      <c r="H856" s="211"/>
      <c r="I856" s="211"/>
      <c r="J856" s="211"/>
      <c r="K856" s="211"/>
      <c r="L856" s="211"/>
      <c r="M856" s="211"/>
      <c r="N856" s="213"/>
    </row>
    <row r="857" ht="18" hidden="1" customHeight="1" spans="1:14">
      <c r="A857" s="207"/>
      <c r="B857" s="210" t="s">
        <v>1843</v>
      </c>
      <c r="C857" s="211">
        <v>1339.7</v>
      </c>
      <c r="D857" s="211">
        <f t="shared" si="25"/>
        <v>1339.7</v>
      </c>
      <c r="E857" s="211">
        <v>1339.7</v>
      </c>
      <c r="F857" s="211"/>
      <c r="G857" s="211"/>
      <c r="H857" s="211"/>
      <c r="I857" s="211"/>
      <c r="J857" s="211"/>
      <c r="K857" s="211"/>
      <c r="L857" s="211"/>
      <c r="M857" s="211"/>
      <c r="N857" s="213"/>
    </row>
    <row r="858" ht="18" hidden="1" customHeight="1" spans="1:14">
      <c r="A858" s="207"/>
      <c r="B858" s="210" t="s">
        <v>1844</v>
      </c>
      <c r="C858" s="211">
        <v>6000</v>
      </c>
      <c r="D858" s="211">
        <f t="shared" si="25"/>
        <v>6000</v>
      </c>
      <c r="E858" s="211"/>
      <c r="F858" s="211">
        <v>6000</v>
      </c>
      <c r="G858" s="211"/>
      <c r="H858" s="211"/>
      <c r="I858" s="211"/>
      <c r="J858" s="211"/>
      <c r="K858" s="211"/>
      <c r="L858" s="211"/>
      <c r="M858" s="211"/>
      <c r="N858" s="213"/>
    </row>
    <row r="859" ht="18" hidden="1" customHeight="1" spans="1:14">
      <c r="A859" s="207"/>
      <c r="B859" s="210" t="s">
        <v>1845</v>
      </c>
      <c r="C859" s="211">
        <v>705.8</v>
      </c>
      <c r="D859" s="211">
        <f t="shared" si="25"/>
        <v>705.8</v>
      </c>
      <c r="E859" s="211">
        <v>705.8</v>
      </c>
      <c r="F859" s="211"/>
      <c r="G859" s="211"/>
      <c r="H859" s="211"/>
      <c r="I859" s="211"/>
      <c r="J859" s="211"/>
      <c r="K859" s="211"/>
      <c r="L859" s="211"/>
      <c r="M859" s="211"/>
      <c r="N859" s="213"/>
    </row>
    <row r="860" ht="18" hidden="1" customHeight="1" spans="1:14">
      <c r="A860" s="207"/>
      <c r="B860" s="210" t="s">
        <v>1802</v>
      </c>
      <c r="C860" s="211">
        <v>5</v>
      </c>
      <c r="D860" s="211">
        <f t="shared" si="25"/>
        <v>5</v>
      </c>
      <c r="E860" s="211">
        <v>5</v>
      </c>
      <c r="F860" s="211"/>
      <c r="G860" s="211"/>
      <c r="H860" s="211"/>
      <c r="I860" s="211"/>
      <c r="J860" s="211"/>
      <c r="K860" s="211"/>
      <c r="L860" s="211"/>
      <c r="M860" s="211"/>
      <c r="N860" s="213"/>
    </row>
    <row r="861" ht="18" hidden="1" customHeight="1" spans="1:14">
      <c r="A861" s="207"/>
      <c r="B861" s="210" t="s">
        <v>1846</v>
      </c>
      <c r="C861" s="211">
        <v>450</v>
      </c>
      <c r="D861" s="211">
        <f t="shared" si="25"/>
        <v>450</v>
      </c>
      <c r="E861" s="211">
        <v>450</v>
      </c>
      <c r="F861" s="211"/>
      <c r="G861" s="211"/>
      <c r="H861" s="211"/>
      <c r="I861" s="211"/>
      <c r="J861" s="211"/>
      <c r="K861" s="211"/>
      <c r="L861" s="211"/>
      <c r="M861" s="211"/>
      <c r="N861" s="213"/>
    </row>
    <row r="862" ht="18" hidden="1" customHeight="1" spans="1:14">
      <c r="A862" s="207"/>
      <c r="B862" s="210" t="s">
        <v>1847</v>
      </c>
      <c r="C862" s="211">
        <v>1630</v>
      </c>
      <c r="D862" s="211">
        <f t="shared" si="25"/>
        <v>1630</v>
      </c>
      <c r="E862" s="211">
        <v>1630</v>
      </c>
      <c r="F862" s="211"/>
      <c r="G862" s="211"/>
      <c r="H862" s="211"/>
      <c r="I862" s="211"/>
      <c r="J862" s="211"/>
      <c r="K862" s="211"/>
      <c r="L862" s="211"/>
      <c r="M862" s="211"/>
      <c r="N862" s="213"/>
    </row>
    <row r="863" ht="18" hidden="1" customHeight="1" spans="1:14">
      <c r="A863" s="207"/>
      <c r="B863" s="210" t="s">
        <v>1820</v>
      </c>
      <c r="C863" s="211">
        <v>63.34</v>
      </c>
      <c r="D863" s="211">
        <f t="shared" si="25"/>
        <v>63.34</v>
      </c>
      <c r="E863" s="211">
        <v>63.34</v>
      </c>
      <c r="F863" s="211"/>
      <c r="G863" s="211"/>
      <c r="H863" s="211"/>
      <c r="I863" s="211"/>
      <c r="J863" s="211"/>
      <c r="K863" s="211"/>
      <c r="L863" s="211"/>
      <c r="M863" s="211"/>
      <c r="N863" s="213"/>
    </row>
    <row r="864" ht="18" hidden="1" customHeight="1" spans="1:14">
      <c r="A864" s="207"/>
      <c r="B864" s="210" t="s">
        <v>1848</v>
      </c>
      <c r="C864" s="211">
        <v>12</v>
      </c>
      <c r="D864" s="211">
        <f t="shared" si="25"/>
        <v>12</v>
      </c>
      <c r="E864" s="211">
        <v>12</v>
      </c>
      <c r="F864" s="211"/>
      <c r="G864" s="211"/>
      <c r="H864" s="211"/>
      <c r="I864" s="211"/>
      <c r="J864" s="211"/>
      <c r="K864" s="211"/>
      <c r="L864" s="211"/>
      <c r="M864" s="211"/>
      <c r="N864" s="213"/>
    </row>
    <row r="865" ht="18" hidden="1" customHeight="1" spans="1:14">
      <c r="A865" s="216">
        <v>808002</v>
      </c>
      <c r="B865" s="217" t="s">
        <v>841</v>
      </c>
      <c r="C865" s="205">
        <v>28.4</v>
      </c>
      <c r="D865" s="205">
        <f t="shared" si="25"/>
        <v>28.4</v>
      </c>
      <c r="E865" s="205">
        <v>28.4</v>
      </c>
      <c r="F865" s="205"/>
      <c r="G865" s="205"/>
      <c r="H865" s="205"/>
      <c r="I865" s="205"/>
      <c r="J865" s="205"/>
      <c r="K865" s="205"/>
      <c r="L865" s="205"/>
      <c r="M865" s="205"/>
      <c r="N865" s="213"/>
    </row>
    <row r="866" ht="18" hidden="1" customHeight="1" spans="1:14">
      <c r="A866" s="207"/>
      <c r="B866" s="210" t="s">
        <v>1805</v>
      </c>
      <c r="C866" s="211">
        <v>10</v>
      </c>
      <c r="D866" s="211">
        <f t="shared" si="25"/>
        <v>10</v>
      </c>
      <c r="E866" s="211">
        <v>10</v>
      </c>
      <c r="F866" s="211"/>
      <c r="G866" s="211"/>
      <c r="H866" s="211"/>
      <c r="I866" s="211"/>
      <c r="J866" s="211"/>
      <c r="K866" s="211"/>
      <c r="L866" s="211"/>
      <c r="M866" s="211"/>
      <c r="N866" s="213"/>
    </row>
    <row r="867" ht="18" hidden="1" customHeight="1" spans="1:14">
      <c r="A867" s="207"/>
      <c r="B867" s="210" t="s">
        <v>1849</v>
      </c>
      <c r="C867" s="211">
        <v>18.4</v>
      </c>
      <c r="D867" s="211">
        <f t="shared" si="25"/>
        <v>18.4</v>
      </c>
      <c r="E867" s="211">
        <v>18.4</v>
      </c>
      <c r="F867" s="211"/>
      <c r="G867" s="211"/>
      <c r="H867" s="211"/>
      <c r="I867" s="211"/>
      <c r="J867" s="211"/>
      <c r="K867" s="211"/>
      <c r="L867" s="211"/>
      <c r="M867" s="211"/>
      <c r="N867" s="213"/>
    </row>
    <row r="868" ht="18" hidden="1" customHeight="1" spans="1:14">
      <c r="A868" s="216">
        <v>808005</v>
      </c>
      <c r="B868" s="217" t="s">
        <v>847</v>
      </c>
      <c r="C868" s="205">
        <v>10.5</v>
      </c>
      <c r="D868" s="205">
        <f t="shared" si="25"/>
        <v>10.5</v>
      </c>
      <c r="E868" s="205">
        <v>10.5</v>
      </c>
      <c r="F868" s="205"/>
      <c r="G868" s="205"/>
      <c r="H868" s="205"/>
      <c r="I868" s="205"/>
      <c r="J868" s="205"/>
      <c r="K868" s="205"/>
      <c r="L868" s="205"/>
      <c r="M868" s="205"/>
      <c r="N868" s="213"/>
    </row>
    <row r="869" ht="18" hidden="1" customHeight="1" spans="1:14">
      <c r="A869" s="207"/>
      <c r="B869" s="210" t="s">
        <v>1808</v>
      </c>
      <c r="C869" s="211">
        <v>10.5</v>
      </c>
      <c r="D869" s="211">
        <f t="shared" si="25"/>
        <v>10.5</v>
      </c>
      <c r="E869" s="211">
        <v>10.5</v>
      </c>
      <c r="F869" s="211"/>
      <c r="G869" s="211"/>
      <c r="H869" s="211"/>
      <c r="I869" s="211"/>
      <c r="J869" s="211"/>
      <c r="K869" s="211"/>
      <c r="L869" s="211"/>
      <c r="M869" s="211"/>
      <c r="N869" s="213"/>
    </row>
    <row r="870" ht="18" hidden="1" customHeight="1" spans="1:14">
      <c r="A870" s="207"/>
      <c r="B870" s="215" t="s">
        <v>850</v>
      </c>
      <c r="C870" s="205">
        <f t="shared" ref="C870:F870" si="26">C871+C886+C889</f>
        <v>3507.41</v>
      </c>
      <c r="D870" s="205">
        <f t="shared" si="26"/>
        <v>3507.41</v>
      </c>
      <c r="E870" s="205">
        <f t="shared" si="26"/>
        <v>1507.41</v>
      </c>
      <c r="F870" s="205">
        <f t="shared" si="26"/>
        <v>2000</v>
      </c>
      <c r="G870" s="211"/>
      <c r="H870" s="211"/>
      <c r="I870" s="211"/>
      <c r="J870" s="211"/>
      <c r="K870" s="211"/>
      <c r="L870" s="211"/>
      <c r="M870" s="211"/>
      <c r="N870" s="213"/>
    </row>
    <row r="871" ht="18" hidden="1" customHeight="1" spans="1:14">
      <c r="A871" s="216">
        <v>809001</v>
      </c>
      <c r="B871" s="210" t="s">
        <v>1850</v>
      </c>
      <c r="C871" s="205">
        <v>3477.31</v>
      </c>
      <c r="D871" s="205">
        <f t="shared" ref="D871:D890" si="27">E871+F871</f>
        <v>3477.31</v>
      </c>
      <c r="E871" s="205">
        <v>1477.31</v>
      </c>
      <c r="F871" s="205">
        <v>2000</v>
      </c>
      <c r="G871" s="205"/>
      <c r="H871" s="205"/>
      <c r="I871" s="205"/>
      <c r="J871" s="205"/>
      <c r="K871" s="205"/>
      <c r="L871" s="205"/>
      <c r="M871" s="205"/>
      <c r="N871" s="213"/>
    </row>
    <row r="872" ht="18" hidden="1" customHeight="1" spans="1:14">
      <c r="A872" s="207"/>
      <c r="B872" s="210" t="s">
        <v>1819</v>
      </c>
      <c r="C872" s="211">
        <v>7</v>
      </c>
      <c r="D872" s="211">
        <f t="shared" si="27"/>
        <v>7</v>
      </c>
      <c r="E872" s="211">
        <v>7</v>
      </c>
      <c r="F872" s="211"/>
      <c r="G872" s="211"/>
      <c r="H872" s="211"/>
      <c r="I872" s="211"/>
      <c r="J872" s="211"/>
      <c r="K872" s="211"/>
      <c r="L872" s="211"/>
      <c r="M872" s="211"/>
      <c r="N872" s="213"/>
    </row>
    <row r="873" ht="18" hidden="1" customHeight="1" spans="1:14">
      <c r="A873" s="207"/>
      <c r="B873" s="210" t="s">
        <v>1851</v>
      </c>
      <c r="C873" s="211">
        <v>200</v>
      </c>
      <c r="D873" s="211">
        <f t="shared" si="27"/>
        <v>200</v>
      </c>
      <c r="E873" s="211">
        <v>120</v>
      </c>
      <c r="F873" s="211">
        <v>80</v>
      </c>
      <c r="G873" s="211"/>
      <c r="H873" s="211"/>
      <c r="I873" s="211"/>
      <c r="J873" s="211"/>
      <c r="K873" s="211"/>
      <c r="L873" s="211"/>
      <c r="M873" s="211"/>
      <c r="N873" s="213"/>
    </row>
    <row r="874" ht="18" hidden="1" customHeight="1" spans="1:14">
      <c r="A874" s="207"/>
      <c r="B874" s="210" t="s">
        <v>1852</v>
      </c>
      <c r="C874" s="211">
        <v>540</v>
      </c>
      <c r="D874" s="211">
        <f t="shared" si="27"/>
        <v>540</v>
      </c>
      <c r="E874" s="211">
        <v>540</v>
      </c>
      <c r="F874" s="211"/>
      <c r="G874" s="211"/>
      <c r="H874" s="211"/>
      <c r="I874" s="211"/>
      <c r="J874" s="211"/>
      <c r="K874" s="211"/>
      <c r="L874" s="211"/>
      <c r="M874" s="211"/>
      <c r="N874" s="213"/>
    </row>
    <row r="875" ht="18" hidden="1" customHeight="1" spans="1:14">
      <c r="A875" s="207"/>
      <c r="B875" s="210" t="s">
        <v>1853</v>
      </c>
      <c r="C875" s="211">
        <v>319.2</v>
      </c>
      <c r="D875" s="211">
        <f t="shared" si="27"/>
        <v>319.2</v>
      </c>
      <c r="E875" s="211">
        <v>245</v>
      </c>
      <c r="F875" s="211">
        <v>74.2</v>
      </c>
      <c r="G875" s="211"/>
      <c r="H875" s="211"/>
      <c r="I875" s="211"/>
      <c r="J875" s="211"/>
      <c r="K875" s="211"/>
      <c r="L875" s="211"/>
      <c r="M875" s="211"/>
      <c r="N875" s="213"/>
    </row>
    <row r="876" ht="18" hidden="1" customHeight="1" spans="1:14">
      <c r="A876" s="207"/>
      <c r="B876" s="210" t="s">
        <v>1820</v>
      </c>
      <c r="C876" s="211">
        <v>63.86</v>
      </c>
      <c r="D876" s="211">
        <f t="shared" si="27"/>
        <v>63.86</v>
      </c>
      <c r="E876" s="211">
        <v>63.86</v>
      </c>
      <c r="F876" s="211"/>
      <c r="G876" s="211"/>
      <c r="H876" s="211"/>
      <c r="I876" s="211"/>
      <c r="J876" s="211"/>
      <c r="K876" s="211"/>
      <c r="L876" s="211"/>
      <c r="M876" s="211"/>
      <c r="N876" s="213"/>
    </row>
    <row r="877" ht="18" hidden="1" customHeight="1" spans="1:14">
      <c r="A877" s="207"/>
      <c r="B877" s="210" t="s">
        <v>1854</v>
      </c>
      <c r="C877" s="211">
        <v>1116</v>
      </c>
      <c r="D877" s="211">
        <f t="shared" si="27"/>
        <v>1116</v>
      </c>
      <c r="E877" s="211"/>
      <c r="F877" s="211">
        <v>1116</v>
      </c>
      <c r="G877" s="211"/>
      <c r="H877" s="211"/>
      <c r="I877" s="211"/>
      <c r="J877" s="211"/>
      <c r="K877" s="211"/>
      <c r="L877" s="211"/>
      <c r="M877" s="211"/>
      <c r="N877" s="213"/>
    </row>
    <row r="878" ht="18" hidden="1" customHeight="1" spans="1:14">
      <c r="A878" s="207"/>
      <c r="B878" s="210" t="s">
        <v>1802</v>
      </c>
      <c r="C878" s="211">
        <v>5</v>
      </c>
      <c r="D878" s="211">
        <f t="shared" si="27"/>
        <v>5</v>
      </c>
      <c r="E878" s="211">
        <v>5</v>
      </c>
      <c r="F878" s="211"/>
      <c r="G878" s="211"/>
      <c r="H878" s="211"/>
      <c r="I878" s="211"/>
      <c r="J878" s="211"/>
      <c r="K878" s="211"/>
      <c r="L878" s="211"/>
      <c r="M878" s="211"/>
      <c r="N878" s="213"/>
    </row>
    <row r="879" ht="18" hidden="1" customHeight="1" spans="1:14">
      <c r="A879" s="207"/>
      <c r="B879" s="210" t="s">
        <v>1855</v>
      </c>
      <c r="C879" s="211">
        <v>4.32</v>
      </c>
      <c r="D879" s="211">
        <f t="shared" si="27"/>
        <v>4.32</v>
      </c>
      <c r="E879" s="211">
        <v>4.32</v>
      </c>
      <c r="F879" s="211"/>
      <c r="G879" s="211"/>
      <c r="H879" s="211"/>
      <c r="I879" s="211"/>
      <c r="J879" s="211"/>
      <c r="K879" s="211"/>
      <c r="L879" s="211"/>
      <c r="M879" s="211"/>
      <c r="N879" s="213"/>
    </row>
    <row r="880" ht="18" hidden="1" customHeight="1" spans="1:14">
      <c r="A880" s="207"/>
      <c r="B880" s="210" t="s">
        <v>1856</v>
      </c>
      <c r="C880" s="211">
        <v>729.8</v>
      </c>
      <c r="D880" s="211">
        <f t="shared" si="27"/>
        <v>729.8</v>
      </c>
      <c r="E880" s="211"/>
      <c r="F880" s="211">
        <v>729.8</v>
      </c>
      <c r="G880" s="211"/>
      <c r="H880" s="211"/>
      <c r="I880" s="211"/>
      <c r="J880" s="211"/>
      <c r="K880" s="211"/>
      <c r="L880" s="211"/>
      <c r="M880" s="211"/>
      <c r="N880" s="213"/>
    </row>
    <row r="881" ht="18" hidden="1" customHeight="1" spans="1:14">
      <c r="A881" s="207"/>
      <c r="B881" s="210" t="s">
        <v>1797</v>
      </c>
      <c r="C881" s="211">
        <v>19.9</v>
      </c>
      <c r="D881" s="211">
        <f t="shared" si="27"/>
        <v>19.9</v>
      </c>
      <c r="E881" s="211">
        <v>19.9</v>
      </c>
      <c r="F881" s="211"/>
      <c r="G881" s="211"/>
      <c r="H881" s="211"/>
      <c r="I881" s="211"/>
      <c r="J881" s="211"/>
      <c r="K881" s="211"/>
      <c r="L881" s="211"/>
      <c r="M881" s="211"/>
      <c r="N881" s="213"/>
    </row>
    <row r="882" ht="18" hidden="1" customHeight="1" spans="1:14">
      <c r="A882" s="207"/>
      <c r="B882" s="210" t="s">
        <v>1857</v>
      </c>
      <c r="C882" s="211">
        <v>95</v>
      </c>
      <c r="D882" s="211">
        <f t="shared" si="27"/>
        <v>95</v>
      </c>
      <c r="E882" s="211">
        <v>95</v>
      </c>
      <c r="F882" s="211"/>
      <c r="G882" s="211"/>
      <c r="H882" s="211"/>
      <c r="I882" s="211"/>
      <c r="J882" s="211"/>
      <c r="K882" s="211"/>
      <c r="L882" s="211"/>
      <c r="M882" s="211"/>
      <c r="N882" s="213"/>
    </row>
    <row r="883" ht="18" hidden="1" customHeight="1" spans="1:14">
      <c r="A883" s="207"/>
      <c r="B883" s="210" t="s">
        <v>1821</v>
      </c>
      <c r="C883" s="211">
        <v>5</v>
      </c>
      <c r="D883" s="211">
        <f t="shared" si="27"/>
        <v>5</v>
      </c>
      <c r="E883" s="211">
        <v>5</v>
      </c>
      <c r="F883" s="211"/>
      <c r="G883" s="211"/>
      <c r="H883" s="211"/>
      <c r="I883" s="211"/>
      <c r="J883" s="211"/>
      <c r="K883" s="211"/>
      <c r="L883" s="211"/>
      <c r="M883" s="211"/>
      <c r="N883" s="213"/>
    </row>
    <row r="884" ht="18" hidden="1" customHeight="1" spans="1:14">
      <c r="A884" s="207"/>
      <c r="B884" s="210" t="s">
        <v>1799</v>
      </c>
      <c r="C884" s="211">
        <v>14.4</v>
      </c>
      <c r="D884" s="211">
        <f t="shared" si="27"/>
        <v>14.4</v>
      </c>
      <c r="E884" s="211">
        <v>14.4</v>
      </c>
      <c r="F884" s="211"/>
      <c r="G884" s="211"/>
      <c r="H884" s="211"/>
      <c r="I884" s="211"/>
      <c r="J884" s="211"/>
      <c r="K884" s="211"/>
      <c r="L884" s="211"/>
      <c r="M884" s="211"/>
      <c r="N884" s="213"/>
    </row>
    <row r="885" ht="18" hidden="1" customHeight="1" spans="1:14">
      <c r="A885" s="207"/>
      <c r="B885" s="210" t="s">
        <v>1801</v>
      </c>
      <c r="C885" s="211">
        <v>357.83</v>
      </c>
      <c r="D885" s="211">
        <f t="shared" si="27"/>
        <v>357.83</v>
      </c>
      <c r="E885" s="211">
        <v>357.83</v>
      </c>
      <c r="F885" s="211"/>
      <c r="G885" s="211"/>
      <c r="H885" s="211"/>
      <c r="I885" s="211"/>
      <c r="J885" s="211"/>
      <c r="K885" s="211"/>
      <c r="L885" s="211"/>
      <c r="M885" s="211"/>
      <c r="N885" s="213"/>
    </row>
    <row r="886" ht="18" hidden="1" customHeight="1" spans="1:14">
      <c r="A886" s="216">
        <v>809002</v>
      </c>
      <c r="B886" s="217" t="s">
        <v>854</v>
      </c>
      <c r="C886" s="205">
        <v>23.1</v>
      </c>
      <c r="D886" s="205">
        <f t="shared" si="27"/>
        <v>23.1</v>
      </c>
      <c r="E886" s="205">
        <v>23.1</v>
      </c>
      <c r="F886" s="205"/>
      <c r="G886" s="205"/>
      <c r="H886" s="205"/>
      <c r="I886" s="205"/>
      <c r="J886" s="205"/>
      <c r="K886" s="205"/>
      <c r="L886" s="205"/>
      <c r="M886" s="205"/>
      <c r="N886" s="213"/>
    </row>
    <row r="887" ht="18" hidden="1" customHeight="1" spans="1:14">
      <c r="A887" s="207"/>
      <c r="B887" s="210" t="s">
        <v>1805</v>
      </c>
      <c r="C887" s="211">
        <v>6.5</v>
      </c>
      <c r="D887" s="211">
        <f t="shared" si="27"/>
        <v>6.5</v>
      </c>
      <c r="E887" s="211">
        <v>6.5</v>
      </c>
      <c r="F887" s="211"/>
      <c r="G887" s="211"/>
      <c r="H887" s="211"/>
      <c r="I887" s="211"/>
      <c r="J887" s="211"/>
      <c r="K887" s="211"/>
      <c r="L887" s="211"/>
      <c r="M887" s="211"/>
      <c r="N887" s="213"/>
    </row>
    <row r="888" ht="18" hidden="1" customHeight="1" spans="1:14">
      <c r="A888" s="207"/>
      <c r="B888" s="210" t="s">
        <v>1806</v>
      </c>
      <c r="C888" s="211">
        <v>16.6</v>
      </c>
      <c r="D888" s="211">
        <f t="shared" si="27"/>
        <v>16.6</v>
      </c>
      <c r="E888" s="211">
        <v>16.6</v>
      </c>
      <c r="F888" s="211"/>
      <c r="G888" s="211"/>
      <c r="H888" s="211"/>
      <c r="I888" s="211"/>
      <c r="J888" s="211"/>
      <c r="K888" s="211"/>
      <c r="L888" s="211"/>
      <c r="M888" s="211"/>
      <c r="N888" s="213"/>
    </row>
    <row r="889" ht="18" hidden="1" customHeight="1" spans="1:14">
      <c r="A889" s="216">
        <v>809004</v>
      </c>
      <c r="B889" s="217" t="s">
        <v>858</v>
      </c>
      <c r="C889" s="205">
        <v>7</v>
      </c>
      <c r="D889" s="205">
        <f t="shared" si="27"/>
        <v>7</v>
      </c>
      <c r="E889" s="205">
        <v>7</v>
      </c>
      <c r="F889" s="205"/>
      <c r="G889" s="205"/>
      <c r="H889" s="205"/>
      <c r="I889" s="205"/>
      <c r="J889" s="205"/>
      <c r="K889" s="205"/>
      <c r="L889" s="205"/>
      <c r="M889" s="205"/>
      <c r="N889" s="213"/>
    </row>
    <row r="890" ht="18" hidden="1" customHeight="1" spans="1:14">
      <c r="A890" s="207"/>
      <c r="B890" s="210" t="s">
        <v>1808</v>
      </c>
      <c r="C890" s="211">
        <v>7</v>
      </c>
      <c r="D890" s="211">
        <f t="shared" si="27"/>
        <v>7</v>
      </c>
      <c r="E890" s="211">
        <v>7</v>
      </c>
      <c r="F890" s="211"/>
      <c r="G890" s="211"/>
      <c r="H890" s="211"/>
      <c r="I890" s="211"/>
      <c r="J890" s="211"/>
      <c r="K890" s="211"/>
      <c r="L890" s="211"/>
      <c r="M890" s="211"/>
      <c r="N890" s="213"/>
    </row>
    <row r="891" ht="18" hidden="1" customHeight="1" spans="1:14">
      <c r="A891" s="207"/>
      <c r="B891" s="215" t="s">
        <v>861</v>
      </c>
      <c r="C891" s="205">
        <f t="shared" ref="C891:F891" si="28">C892+C936</f>
        <v>13727.87</v>
      </c>
      <c r="D891" s="205">
        <f t="shared" si="28"/>
        <v>13727.87</v>
      </c>
      <c r="E891" s="205">
        <f t="shared" si="28"/>
        <v>4427.87</v>
      </c>
      <c r="F891" s="205">
        <f t="shared" si="28"/>
        <v>9300</v>
      </c>
      <c r="G891" s="211"/>
      <c r="H891" s="211"/>
      <c r="I891" s="211"/>
      <c r="J891" s="211"/>
      <c r="K891" s="211"/>
      <c r="L891" s="211"/>
      <c r="M891" s="211"/>
      <c r="N891" s="213"/>
    </row>
    <row r="892" ht="18" hidden="1" customHeight="1" spans="1:14">
      <c r="A892" s="216">
        <v>810001</v>
      </c>
      <c r="B892" s="210" t="s">
        <v>1858</v>
      </c>
      <c r="C892" s="205">
        <v>13706.57</v>
      </c>
      <c r="D892" s="205">
        <f t="shared" ref="D892:D938" si="29">E892+F892</f>
        <v>13706.57</v>
      </c>
      <c r="E892" s="205">
        <v>4406.57</v>
      </c>
      <c r="F892" s="205">
        <v>9300</v>
      </c>
      <c r="G892" s="205"/>
      <c r="H892" s="205"/>
      <c r="I892" s="205"/>
      <c r="J892" s="205"/>
      <c r="K892" s="205"/>
      <c r="L892" s="205"/>
      <c r="M892" s="205"/>
      <c r="N892" s="213"/>
    </row>
    <row r="893" ht="18" hidden="1" customHeight="1" spans="1:14">
      <c r="A893" s="207"/>
      <c r="B893" s="210" t="s">
        <v>1859</v>
      </c>
      <c r="C893" s="211">
        <v>350</v>
      </c>
      <c r="D893" s="211">
        <f t="shared" si="29"/>
        <v>350</v>
      </c>
      <c r="E893" s="211">
        <v>350</v>
      </c>
      <c r="F893" s="211"/>
      <c r="G893" s="211"/>
      <c r="H893" s="211"/>
      <c r="I893" s="211"/>
      <c r="J893" s="211"/>
      <c r="K893" s="211"/>
      <c r="L893" s="211"/>
      <c r="M893" s="211"/>
      <c r="N893" s="213"/>
    </row>
    <row r="894" ht="18" hidden="1" customHeight="1" spans="1:14">
      <c r="A894" s="207"/>
      <c r="B894" s="210" t="s">
        <v>1860</v>
      </c>
      <c r="C894" s="211">
        <v>200</v>
      </c>
      <c r="D894" s="211">
        <f t="shared" si="29"/>
        <v>200</v>
      </c>
      <c r="E894" s="211">
        <v>200</v>
      </c>
      <c r="F894" s="211"/>
      <c r="G894" s="211"/>
      <c r="H894" s="211"/>
      <c r="I894" s="211"/>
      <c r="J894" s="211"/>
      <c r="K894" s="211"/>
      <c r="L894" s="211"/>
      <c r="M894" s="211"/>
      <c r="N894" s="213"/>
    </row>
    <row r="895" ht="18" hidden="1" customHeight="1" spans="1:14">
      <c r="A895" s="207"/>
      <c r="B895" s="210" t="s">
        <v>1799</v>
      </c>
      <c r="C895" s="211">
        <v>12.6</v>
      </c>
      <c r="D895" s="211">
        <f t="shared" si="29"/>
        <v>12.6</v>
      </c>
      <c r="E895" s="211">
        <v>12.6</v>
      </c>
      <c r="F895" s="211"/>
      <c r="G895" s="211"/>
      <c r="H895" s="211"/>
      <c r="I895" s="211"/>
      <c r="J895" s="211"/>
      <c r="K895" s="211"/>
      <c r="L895" s="211"/>
      <c r="M895" s="211"/>
      <c r="N895" s="213"/>
    </row>
    <row r="896" ht="18" hidden="1" customHeight="1" spans="1:14">
      <c r="A896" s="207"/>
      <c r="B896" s="210" t="s">
        <v>1819</v>
      </c>
      <c r="C896" s="211">
        <v>10.5</v>
      </c>
      <c r="D896" s="211">
        <f t="shared" si="29"/>
        <v>10.5</v>
      </c>
      <c r="E896" s="211">
        <v>10.5</v>
      </c>
      <c r="F896" s="211"/>
      <c r="G896" s="211"/>
      <c r="H896" s="211"/>
      <c r="I896" s="211"/>
      <c r="J896" s="211"/>
      <c r="K896" s="211"/>
      <c r="L896" s="211"/>
      <c r="M896" s="211"/>
      <c r="N896" s="213"/>
    </row>
    <row r="897" ht="18" hidden="1" customHeight="1" spans="1:14">
      <c r="A897" s="207"/>
      <c r="B897" s="210" t="s">
        <v>1861</v>
      </c>
      <c r="C897" s="211">
        <v>450</v>
      </c>
      <c r="D897" s="211">
        <f t="shared" si="29"/>
        <v>450</v>
      </c>
      <c r="E897" s="211"/>
      <c r="F897" s="211">
        <v>450</v>
      </c>
      <c r="G897" s="211"/>
      <c r="H897" s="211"/>
      <c r="I897" s="211"/>
      <c r="J897" s="211"/>
      <c r="K897" s="211"/>
      <c r="L897" s="211"/>
      <c r="M897" s="211"/>
      <c r="N897" s="213"/>
    </row>
    <row r="898" ht="18" hidden="1" customHeight="1" spans="1:14">
      <c r="A898" s="207"/>
      <c r="B898" s="210" t="s">
        <v>1862</v>
      </c>
      <c r="C898" s="211">
        <v>34.3</v>
      </c>
      <c r="D898" s="211">
        <f t="shared" si="29"/>
        <v>34.3</v>
      </c>
      <c r="E898" s="211"/>
      <c r="F898" s="211">
        <v>34.3</v>
      </c>
      <c r="G898" s="211"/>
      <c r="H898" s="211"/>
      <c r="I898" s="211"/>
      <c r="J898" s="211"/>
      <c r="K898" s="211"/>
      <c r="L898" s="211"/>
      <c r="M898" s="211"/>
      <c r="N898" s="213"/>
    </row>
    <row r="899" ht="18" hidden="1" customHeight="1" spans="1:14">
      <c r="A899" s="207"/>
      <c r="B899" s="210" t="s">
        <v>1863</v>
      </c>
      <c r="C899" s="211">
        <v>50</v>
      </c>
      <c r="D899" s="211">
        <f t="shared" si="29"/>
        <v>50</v>
      </c>
      <c r="E899" s="211"/>
      <c r="F899" s="211">
        <v>50</v>
      </c>
      <c r="G899" s="211"/>
      <c r="H899" s="211"/>
      <c r="I899" s="211"/>
      <c r="J899" s="211"/>
      <c r="K899" s="211"/>
      <c r="L899" s="211"/>
      <c r="M899" s="211"/>
      <c r="N899" s="213"/>
    </row>
    <row r="900" ht="18" hidden="1" customHeight="1" spans="1:14">
      <c r="A900" s="207"/>
      <c r="B900" s="210" t="s">
        <v>1864</v>
      </c>
      <c r="C900" s="211">
        <v>23</v>
      </c>
      <c r="D900" s="211">
        <f t="shared" si="29"/>
        <v>23</v>
      </c>
      <c r="E900" s="211">
        <v>23</v>
      </c>
      <c r="F900" s="211"/>
      <c r="G900" s="211"/>
      <c r="H900" s="211"/>
      <c r="I900" s="211"/>
      <c r="J900" s="211"/>
      <c r="K900" s="211"/>
      <c r="L900" s="211"/>
      <c r="M900" s="211"/>
      <c r="N900" s="213"/>
    </row>
    <row r="901" ht="18" hidden="1" customHeight="1" spans="1:14">
      <c r="A901" s="207"/>
      <c r="B901" s="210" t="s">
        <v>1865</v>
      </c>
      <c r="C901" s="211">
        <v>828</v>
      </c>
      <c r="D901" s="211">
        <f t="shared" si="29"/>
        <v>828</v>
      </c>
      <c r="E901" s="211">
        <v>828</v>
      </c>
      <c r="F901" s="211"/>
      <c r="G901" s="211"/>
      <c r="H901" s="211"/>
      <c r="I901" s="211"/>
      <c r="J901" s="211"/>
      <c r="K901" s="211"/>
      <c r="L901" s="211"/>
      <c r="M901" s="211"/>
      <c r="N901" s="213"/>
    </row>
    <row r="902" ht="18" hidden="1" customHeight="1" spans="1:14">
      <c r="A902" s="207"/>
      <c r="B902" s="210" t="s">
        <v>1866</v>
      </c>
      <c r="C902" s="211">
        <v>280</v>
      </c>
      <c r="D902" s="211">
        <f t="shared" si="29"/>
        <v>280</v>
      </c>
      <c r="E902" s="211"/>
      <c r="F902" s="211">
        <v>280</v>
      </c>
      <c r="G902" s="211"/>
      <c r="H902" s="211"/>
      <c r="I902" s="211"/>
      <c r="J902" s="211"/>
      <c r="K902" s="211"/>
      <c r="L902" s="211"/>
      <c r="M902" s="211"/>
      <c r="N902" s="213"/>
    </row>
    <row r="903" ht="18" hidden="1" customHeight="1" spans="1:14">
      <c r="A903" s="207"/>
      <c r="B903" s="210" t="s">
        <v>1867</v>
      </c>
      <c r="C903" s="211">
        <v>500</v>
      </c>
      <c r="D903" s="211">
        <f t="shared" si="29"/>
        <v>500</v>
      </c>
      <c r="E903" s="211"/>
      <c r="F903" s="211">
        <v>500</v>
      </c>
      <c r="G903" s="211"/>
      <c r="H903" s="211"/>
      <c r="I903" s="211"/>
      <c r="J903" s="211"/>
      <c r="K903" s="211"/>
      <c r="L903" s="211"/>
      <c r="M903" s="211"/>
      <c r="N903" s="213"/>
    </row>
    <row r="904" ht="18" hidden="1" customHeight="1" spans="1:14">
      <c r="A904" s="207"/>
      <c r="B904" s="210" t="s">
        <v>1823</v>
      </c>
      <c r="C904" s="211">
        <v>1.06</v>
      </c>
      <c r="D904" s="211">
        <f t="shared" si="29"/>
        <v>1.06</v>
      </c>
      <c r="E904" s="211">
        <v>1.06</v>
      </c>
      <c r="F904" s="211"/>
      <c r="G904" s="211"/>
      <c r="H904" s="211"/>
      <c r="I904" s="211"/>
      <c r="J904" s="211"/>
      <c r="K904" s="211"/>
      <c r="L904" s="211"/>
      <c r="M904" s="211"/>
      <c r="N904" s="213"/>
    </row>
    <row r="905" ht="18" hidden="1" customHeight="1" spans="1:14">
      <c r="A905" s="207"/>
      <c r="B905" s="210" t="s">
        <v>1868</v>
      </c>
      <c r="C905" s="211">
        <v>20</v>
      </c>
      <c r="D905" s="211">
        <f t="shared" si="29"/>
        <v>20</v>
      </c>
      <c r="E905" s="211"/>
      <c r="F905" s="211">
        <v>20</v>
      </c>
      <c r="G905" s="211"/>
      <c r="H905" s="211"/>
      <c r="I905" s="211"/>
      <c r="J905" s="211"/>
      <c r="K905" s="211"/>
      <c r="L905" s="211"/>
      <c r="M905" s="211"/>
      <c r="N905" s="213"/>
    </row>
    <row r="906" ht="18" hidden="1" customHeight="1" spans="1:14">
      <c r="A906" s="207"/>
      <c r="B906" s="210" t="s">
        <v>1869</v>
      </c>
      <c r="C906" s="211">
        <v>20</v>
      </c>
      <c r="D906" s="211">
        <f t="shared" si="29"/>
        <v>20</v>
      </c>
      <c r="E906" s="211"/>
      <c r="F906" s="211">
        <v>20</v>
      </c>
      <c r="G906" s="211"/>
      <c r="H906" s="211"/>
      <c r="I906" s="211"/>
      <c r="J906" s="211"/>
      <c r="K906" s="211"/>
      <c r="L906" s="211"/>
      <c r="M906" s="211"/>
      <c r="N906" s="213"/>
    </row>
    <row r="907" ht="18" hidden="1" customHeight="1" spans="1:14">
      <c r="A907" s="207"/>
      <c r="B907" s="210" t="s">
        <v>1870</v>
      </c>
      <c r="C907" s="211">
        <v>1034.06</v>
      </c>
      <c r="D907" s="211">
        <f t="shared" si="29"/>
        <v>1034.06</v>
      </c>
      <c r="E907" s="211">
        <v>32.36</v>
      </c>
      <c r="F907" s="211">
        <v>1001.7</v>
      </c>
      <c r="G907" s="211"/>
      <c r="H907" s="211"/>
      <c r="I907" s="211"/>
      <c r="J907" s="211"/>
      <c r="K907" s="211"/>
      <c r="L907" s="211"/>
      <c r="M907" s="211"/>
      <c r="N907" s="213"/>
    </row>
    <row r="908" ht="18" hidden="1" customHeight="1" spans="1:14">
      <c r="A908" s="207"/>
      <c r="B908" s="210" t="s">
        <v>1871</v>
      </c>
      <c r="C908" s="211">
        <v>100</v>
      </c>
      <c r="D908" s="211">
        <f t="shared" si="29"/>
        <v>100</v>
      </c>
      <c r="E908" s="211"/>
      <c r="F908" s="211">
        <v>100</v>
      </c>
      <c r="G908" s="211"/>
      <c r="H908" s="211"/>
      <c r="I908" s="211"/>
      <c r="J908" s="211"/>
      <c r="K908" s="211"/>
      <c r="L908" s="211"/>
      <c r="M908" s="211"/>
      <c r="N908" s="213"/>
    </row>
    <row r="909" ht="18" hidden="1" customHeight="1" spans="1:14">
      <c r="A909" s="207"/>
      <c r="B909" s="210" t="s">
        <v>1802</v>
      </c>
      <c r="C909" s="211">
        <v>5</v>
      </c>
      <c r="D909" s="211">
        <f t="shared" si="29"/>
        <v>5</v>
      </c>
      <c r="E909" s="211">
        <v>5</v>
      </c>
      <c r="F909" s="211"/>
      <c r="G909" s="211"/>
      <c r="H909" s="211"/>
      <c r="I909" s="211"/>
      <c r="J909" s="211"/>
      <c r="K909" s="211"/>
      <c r="L909" s="211"/>
      <c r="M909" s="211"/>
      <c r="N909" s="213"/>
    </row>
    <row r="910" ht="18" hidden="1" customHeight="1" spans="1:14">
      <c r="A910" s="207"/>
      <c r="B910" s="210" t="s">
        <v>1824</v>
      </c>
      <c r="C910" s="211">
        <v>3.5</v>
      </c>
      <c r="D910" s="211">
        <f t="shared" si="29"/>
        <v>3.5</v>
      </c>
      <c r="E910" s="211">
        <v>3.5</v>
      </c>
      <c r="F910" s="211"/>
      <c r="G910" s="211"/>
      <c r="H910" s="211"/>
      <c r="I910" s="211"/>
      <c r="J910" s="211"/>
      <c r="K910" s="211"/>
      <c r="L910" s="211"/>
      <c r="M910" s="211"/>
      <c r="N910" s="213"/>
    </row>
    <row r="911" ht="18" hidden="1" customHeight="1" spans="1:14">
      <c r="A911" s="207"/>
      <c r="B911" s="210" t="s">
        <v>1822</v>
      </c>
      <c r="C911" s="211">
        <v>3.78</v>
      </c>
      <c r="D911" s="211">
        <f t="shared" si="29"/>
        <v>3.78</v>
      </c>
      <c r="E911" s="211">
        <v>3.78</v>
      </c>
      <c r="F911" s="211"/>
      <c r="G911" s="211"/>
      <c r="H911" s="211"/>
      <c r="I911" s="211"/>
      <c r="J911" s="211"/>
      <c r="K911" s="211"/>
      <c r="L911" s="211"/>
      <c r="M911" s="211"/>
      <c r="N911" s="213"/>
    </row>
    <row r="912" ht="18" hidden="1" customHeight="1" spans="1:14">
      <c r="A912" s="207"/>
      <c r="B912" s="210" t="s">
        <v>1872</v>
      </c>
      <c r="C912" s="211">
        <v>23.98</v>
      </c>
      <c r="D912" s="211">
        <f t="shared" si="29"/>
        <v>23.98</v>
      </c>
      <c r="E912" s="211">
        <v>23.98</v>
      </c>
      <c r="F912" s="211"/>
      <c r="G912" s="211"/>
      <c r="H912" s="211"/>
      <c r="I912" s="211"/>
      <c r="J912" s="211"/>
      <c r="K912" s="211"/>
      <c r="L912" s="211"/>
      <c r="M912" s="211"/>
      <c r="N912" s="213"/>
    </row>
    <row r="913" ht="18" hidden="1" customHeight="1" spans="1:14">
      <c r="A913" s="207"/>
      <c r="B913" s="210" t="s">
        <v>1873</v>
      </c>
      <c r="C913" s="211">
        <v>115.5</v>
      </c>
      <c r="D913" s="211">
        <f t="shared" si="29"/>
        <v>115.5</v>
      </c>
      <c r="E913" s="211">
        <v>115.5</v>
      </c>
      <c r="F913" s="211"/>
      <c r="G913" s="211"/>
      <c r="H913" s="211"/>
      <c r="I913" s="211"/>
      <c r="J913" s="211"/>
      <c r="K913" s="211"/>
      <c r="L913" s="211"/>
      <c r="M913" s="211"/>
      <c r="N913" s="213"/>
    </row>
    <row r="914" ht="18" hidden="1" customHeight="1" spans="1:14">
      <c r="A914" s="207"/>
      <c r="B914" s="210" t="s">
        <v>1816</v>
      </c>
      <c r="C914" s="211">
        <v>20</v>
      </c>
      <c r="D914" s="211">
        <f t="shared" si="29"/>
        <v>20</v>
      </c>
      <c r="E914" s="211">
        <v>20</v>
      </c>
      <c r="F914" s="211"/>
      <c r="G914" s="211"/>
      <c r="H914" s="211"/>
      <c r="I914" s="211"/>
      <c r="J914" s="211"/>
      <c r="K914" s="211"/>
      <c r="L914" s="211"/>
      <c r="M914" s="211"/>
      <c r="N914" s="213"/>
    </row>
    <row r="915" ht="18" hidden="1" customHeight="1" spans="1:14">
      <c r="A915" s="207"/>
      <c r="B915" s="210" t="s">
        <v>1874</v>
      </c>
      <c r="C915" s="211">
        <v>80</v>
      </c>
      <c r="D915" s="211">
        <f t="shared" si="29"/>
        <v>80</v>
      </c>
      <c r="E915" s="211">
        <v>80</v>
      </c>
      <c r="F915" s="211"/>
      <c r="G915" s="211"/>
      <c r="H915" s="211"/>
      <c r="I915" s="211"/>
      <c r="J915" s="211"/>
      <c r="K915" s="211"/>
      <c r="L915" s="211"/>
      <c r="M915" s="211"/>
      <c r="N915" s="213"/>
    </row>
    <row r="916" ht="18" hidden="1" customHeight="1" spans="1:14">
      <c r="A916" s="207"/>
      <c r="B916" s="210" t="s">
        <v>1875</v>
      </c>
      <c r="C916" s="211">
        <v>489</v>
      </c>
      <c r="D916" s="211">
        <f t="shared" si="29"/>
        <v>489</v>
      </c>
      <c r="E916" s="211">
        <v>489</v>
      </c>
      <c r="F916" s="211"/>
      <c r="G916" s="211"/>
      <c r="H916" s="211"/>
      <c r="I916" s="211"/>
      <c r="J916" s="211"/>
      <c r="K916" s="211"/>
      <c r="L916" s="211"/>
      <c r="M916" s="211"/>
      <c r="N916" s="213"/>
    </row>
    <row r="917" ht="18" hidden="1" customHeight="1" spans="1:14">
      <c r="A917" s="207"/>
      <c r="B917" s="210" t="s">
        <v>1808</v>
      </c>
      <c r="C917" s="211">
        <v>10.5</v>
      </c>
      <c r="D917" s="211">
        <f t="shared" si="29"/>
        <v>10.5</v>
      </c>
      <c r="E917" s="211">
        <v>10.5</v>
      </c>
      <c r="F917" s="211"/>
      <c r="G917" s="211"/>
      <c r="H917" s="211"/>
      <c r="I917" s="211"/>
      <c r="J917" s="211"/>
      <c r="K917" s="211"/>
      <c r="L917" s="211"/>
      <c r="M917" s="211"/>
      <c r="N917" s="213"/>
    </row>
    <row r="918" ht="18" hidden="1" customHeight="1" spans="1:14">
      <c r="A918" s="207"/>
      <c r="B918" s="210" t="s">
        <v>1876</v>
      </c>
      <c r="C918" s="211">
        <v>8</v>
      </c>
      <c r="D918" s="211">
        <f t="shared" si="29"/>
        <v>8</v>
      </c>
      <c r="E918" s="211"/>
      <c r="F918" s="211">
        <v>8</v>
      </c>
      <c r="G918" s="211"/>
      <c r="H918" s="211"/>
      <c r="I918" s="211"/>
      <c r="J918" s="211"/>
      <c r="K918" s="211"/>
      <c r="L918" s="211"/>
      <c r="M918" s="211"/>
      <c r="N918" s="213"/>
    </row>
    <row r="919" ht="18" hidden="1" customHeight="1" spans="1:14">
      <c r="A919" s="207"/>
      <c r="B919" s="210" t="s">
        <v>1801</v>
      </c>
      <c r="C919" s="211">
        <v>294.29</v>
      </c>
      <c r="D919" s="211">
        <f t="shared" si="29"/>
        <v>294.29</v>
      </c>
      <c r="E919" s="211">
        <v>294.29</v>
      </c>
      <c r="F919" s="211"/>
      <c r="G919" s="211"/>
      <c r="H919" s="211"/>
      <c r="I919" s="211"/>
      <c r="J919" s="211"/>
      <c r="K919" s="211"/>
      <c r="L919" s="211"/>
      <c r="M919" s="211"/>
      <c r="N919" s="213"/>
    </row>
    <row r="920" ht="18" hidden="1" customHeight="1" spans="1:14">
      <c r="A920" s="207"/>
      <c r="B920" s="210" t="s">
        <v>1797</v>
      </c>
      <c r="C920" s="211">
        <v>14.93</v>
      </c>
      <c r="D920" s="211">
        <f t="shared" si="29"/>
        <v>14.93</v>
      </c>
      <c r="E920" s="211">
        <v>14.93</v>
      </c>
      <c r="F920" s="211"/>
      <c r="G920" s="211"/>
      <c r="H920" s="211"/>
      <c r="I920" s="211"/>
      <c r="J920" s="211"/>
      <c r="K920" s="211"/>
      <c r="L920" s="211"/>
      <c r="M920" s="211"/>
      <c r="N920" s="213"/>
    </row>
    <row r="921" ht="18" hidden="1" customHeight="1" spans="1:14">
      <c r="A921" s="207"/>
      <c r="B921" s="210" t="s">
        <v>1877</v>
      </c>
      <c r="C921" s="211">
        <v>5020</v>
      </c>
      <c r="D921" s="211">
        <f t="shared" si="29"/>
        <v>5020</v>
      </c>
      <c r="E921" s="211"/>
      <c r="F921" s="211">
        <v>5020</v>
      </c>
      <c r="G921" s="211"/>
      <c r="H921" s="211"/>
      <c r="I921" s="211"/>
      <c r="J921" s="211"/>
      <c r="K921" s="211"/>
      <c r="L921" s="211"/>
      <c r="M921" s="211"/>
      <c r="N921" s="213"/>
    </row>
    <row r="922" ht="18" hidden="1" customHeight="1" spans="1:14">
      <c r="A922" s="207"/>
      <c r="B922" s="210" t="s">
        <v>1878</v>
      </c>
      <c r="C922" s="211">
        <v>75</v>
      </c>
      <c r="D922" s="211">
        <f t="shared" si="29"/>
        <v>75</v>
      </c>
      <c r="E922" s="211"/>
      <c r="F922" s="211">
        <v>75</v>
      </c>
      <c r="G922" s="211"/>
      <c r="H922" s="211"/>
      <c r="I922" s="211"/>
      <c r="J922" s="211"/>
      <c r="K922" s="211"/>
      <c r="L922" s="211"/>
      <c r="M922" s="211"/>
      <c r="N922" s="213"/>
    </row>
    <row r="923" ht="18" hidden="1" customHeight="1" spans="1:14">
      <c r="A923" s="207"/>
      <c r="B923" s="210" t="s">
        <v>1879</v>
      </c>
      <c r="C923" s="211">
        <v>1350</v>
      </c>
      <c r="D923" s="211">
        <f t="shared" si="29"/>
        <v>1350</v>
      </c>
      <c r="E923" s="211">
        <v>1350</v>
      </c>
      <c r="F923" s="211"/>
      <c r="G923" s="211"/>
      <c r="H923" s="211"/>
      <c r="I923" s="211"/>
      <c r="J923" s="211"/>
      <c r="K923" s="211"/>
      <c r="L923" s="211"/>
      <c r="M923" s="211"/>
      <c r="N923" s="213"/>
    </row>
    <row r="924" ht="18" hidden="1" customHeight="1" spans="1:14">
      <c r="A924" s="207"/>
      <c r="B924" s="210" t="s">
        <v>1880</v>
      </c>
      <c r="C924" s="211">
        <v>132.29</v>
      </c>
      <c r="D924" s="211">
        <f t="shared" si="29"/>
        <v>132.29</v>
      </c>
      <c r="E924" s="211">
        <v>132.29</v>
      </c>
      <c r="F924" s="211"/>
      <c r="G924" s="211"/>
      <c r="H924" s="211"/>
      <c r="I924" s="211"/>
      <c r="J924" s="211"/>
      <c r="K924" s="211"/>
      <c r="L924" s="211"/>
      <c r="M924" s="211"/>
      <c r="N924" s="213"/>
    </row>
    <row r="925" ht="18" hidden="1" customHeight="1" spans="1:14">
      <c r="A925" s="207"/>
      <c r="B925" s="210" t="s">
        <v>1881</v>
      </c>
      <c r="C925" s="211">
        <v>45.89</v>
      </c>
      <c r="D925" s="211">
        <f t="shared" si="29"/>
        <v>45.89</v>
      </c>
      <c r="E925" s="211">
        <v>45.89</v>
      </c>
      <c r="F925" s="211"/>
      <c r="G925" s="211"/>
      <c r="H925" s="211"/>
      <c r="I925" s="211"/>
      <c r="J925" s="211"/>
      <c r="K925" s="211"/>
      <c r="L925" s="211"/>
      <c r="M925" s="211"/>
      <c r="N925" s="213"/>
    </row>
    <row r="926" ht="18" hidden="1" customHeight="1" spans="1:14">
      <c r="A926" s="207"/>
      <c r="B926" s="210" t="s">
        <v>1882</v>
      </c>
      <c r="C926" s="211">
        <v>10</v>
      </c>
      <c r="D926" s="211">
        <f t="shared" si="29"/>
        <v>10</v>
      </c>
      <c r="E926" s="211"/>
      <c r="F926" s="211">
        <v>10</v>
      </c>
      <c r="G926" s="211"/>
      <c r="H926" s="211"/>
      <c r="I926" s="211"/>
      <c r="J926" s="211"/>
      <c r="K926" s="211"/>
      <c r="L926" s="211"/>
      <c r="M926" s="211"/>
      <c r="N926" s="213"/>
    </row>
    <row r="927" ht="18" hidden="1" customHeight="1" spans="1:14">
      <c r="A927" s="207"/>
      <c r="B927" s="210" t="s">
        <v>1883</v>
      </c>
      <c r="C927" s="211">
        <v>1005</v>
      </c>
      <c r="D927" s="211">
        <f t="shared" si="29"/>
        <v>1005</v>
      </c>
      <c r="E927" s="211"/>
      <c r="F927" s="211">
        <v>1005</v>
      </c>
      <c r="G927" s="211"/>
      <c r="H927" s="211"/>
      <c r="I927" s="211"/>
      <c r="J927" s="211"/>
      <c r="K927" s="211"/>
      <c r="L927" s="211"/>
      <c r="M927" s="211"/>
      <c r="N927" s="213"/>
    </row>
    <row r="928" ht="18" hidden="1" customHeight="1" spans="1:14">
      <c r="A928" s="207"/>
      <c r="B928" s="210" t="s">
        <v>1884</v>
      </c>
      <c r="C928" s="211">
        <v>332</v>
      </c>
      <c r="D928" s="211">
        <f t="shared" si="29"/>
        <v>332</v>
      </c>
      <c r="E928" s="211"/>
      <c r="F928" s="211">
        <v>332</v>
      </c>
      <c r="G928" s="211"/>
      <c r="H928" s="211"/>
      <c r="I928" s="211"/>
      <c r="J928" s="211"/>
      <c r="K928" s="211"/>
      <c r="L928" s="211"/>
      <c r="M928" s="211"/>
      <c r="N928" s="213"/>
    </row>
    <row r="929" ht="18" hidden="1" customHeight="1" spans="1:14">
      <c r="A929" s="207"/>
      <c r="B929" s="210" t="s">
        <v>1821</v>
      </c>
      <c r="C929" s="211">
        <v>5</v>
      </c>
      <c r="D929" s="211">
        <f t="shared" si="29"/>
        <v>5</v>
      </c>
      <c r="E929" s="211">
        <v>5</v>
      </c>
      <c r="F929" s="211"/>
      <c r="G929" s="211"/>
      <c r="H929" s="211"/>
      <c r="I929" s="211"/>
      <c r="J929" s="211"/>
      <c r="K929" s="211"/>
      <c r="L929" s="211"/>
      <c r="M929" s="211"/>
      <c r="N929" s="213"/>
    </row>
    <row r="930" ht="18" hidden="1" customHeight="1" spans="1:14">
      <c r="A930" s="207"/>
      <c r="B930" s="210" t="s">
        <v>1885</v>
      </c>
      <c r="C930" s="211">
        <v>8</v>
      </c>
      <c r="D930" s="211">
        <f t="shared" si="29"/>
        <v>8</v>
      </c>
      <c r="E930" s="211"/>
      <c r="F930" s="211">
        <v>8</v>
      </c>
      <c r="G930" s="211"/>
      <c r="H930" s="211"/>
      <c r="I930" s="211"/>
      <c r="J930" s="211"/>
      <c r="K930" s="211"/>
      <c r="L930" s="211"/>
      <c r="M930" s="211"/>
      <c r="N930" s="213"/>
    </row>
    <row r="931" ht="18" hidden="1" customHeight="1" spans="1:14">
      <c r="A931" s="207"/>
      <c r="B931" s="210" t="s">
        <v>1886</v>
      </c>
      <c r="C931" s="211">
        <v>200</v>
      </c>
      <c r="D931" s="211">
        <f t="shared" si="29"/>
        <v>200</v>
      </c>
      <c r="E931" s="211">
        <v>200</v>
      </c>
      <c r="F931" s="211"/>
      <c r="G931" s="211"/>
      <c r="H931" s="211"/>
      <c r="I931" s="211"/>
      <c r="J931" s="211"/>
      <c r="K931" s="211"/>
      <c r="L931" s="211"/>
      <c r="M931" s="211"/>
      <c r="N931" s="213"/>
    </row>
    <row r="932" ht="18" hidden="1" customHeight="1" spans="1:14">
      <c r="A932" s="207"/>
      <c r="B932" s="210" t="s">
        <v>1887</v>
      </c>
      <c r="C932" s="211">
        <v>21</v>
      </c>
      <c r="D932" s="211">
        <f t="shared" si="29"/>
        <v>21</v>
      </c>
      <c r="E932" s="211">
        <v>21</v>
      </c>
      <c r="F932" s="211"/>
      <c r="G932" s="211"/>
      <c r="H932" s="211"/>
      <c r="I932" s="211"/>
      <c r="J932" s="211"/>
      <c r="K932" s="211"/>
      <c r="L932" s="211"/>
      <c r="M932" s="211"/>
      <c r="N932" s="213"/>
    </row>
    <row r="933" ht="18" hidden="1" customHeight="1" spans="1:14">
      <c r="A933" s="207"/>
      <c r="B933" s="210" t="s">
        <v>1888</v>
      </c>
      <c r="C933" s="211">
        <v>88.98</v>
      </c>
      <c r="D933" s="211">
        <f t="shared" si="29"/>
        <v>88.98</v>
      </c>
      <c r="E933" s="211">
        <v>88.98</v>
      </c>
      <c r="F933" s="211"/>
      <c r="G933" s="211"/>
      <c r="H933" s="211"/>
      <c r="I933" s="211"/>
      <c r="J933" s="211"/>
      <c r="K933" s="211"/>
      <c r="L933" s="211"/>
      <c r="M933" s="211"/>
      <c r="N933" s="213"/>
    </row>
    <row r="934" ht="18" hidden="1" customHeight="1" spans="1:14">
      <c r="A934" s="207"/>
      <c r="B934" s="210" t="s">
        <v>1889</v>
      </c>
      <c r="C934" s="211">
        <v>386</v>
      </c>
      <c r="D934" s="211">
        <f t="shared" si="29"/>
        <v>386</v>
      </c>
      <c r="E934" s="211"/>
      <c r="F934" s="211">
        <v>386</v>
      </c>
      <c r="G934" s="211"/>
      <c r="H934" s="211"/>
      <c r="I934" s="211"/>
      <c r="J934" s="211"/>
      <c r="K934" s="211"/>
      <c r="L934" s="211"/>
      <c r="M934" s="211"/>
      <c r="N934" s="213"/>
    </row>
    <row r="935" ht="18" hidden="1" customHeight="1" spans="1:14">
      <c r="A935" s="207"/>
      <c r="B935" s="210" t="s">
        <v>1820</v>
      </c>
      <c r="C935" s="211">
        <v>45.41</v>
      </c>
      <c r="D935" s="211">
        <f t="shared" si="29"/>
        <v>45.41</v>
      </c>
      <c r="E935" s="211">
        <v>45.41</v>
      </c>
      <c r="F935" s="211"/>
      <c r="G935" s="211"/>
      <c r="H935" s="211"/>
      <c r="I935" s="211"/>
      <c r="J935" s="211"/>
      <c r="K935" s="211"/>
      <c r="L935" s="211"/>
      <c r="M935" s="211"/>
      <c r="N935" s="213"/>
    </row>
    <row r="936" ht="18" hidden="1" customHeight="1" spans="1:14">
      <c r="A936" s="216">
        <v>810002</v>
      </c>
      <c r="B936" s="210" t="s">
        <v>1890</v>
      </c>
      <c r="C936" s="205">
        <v>21.3</v>
      </c>
      <c r="D936" s="205">
        <f t="shared" si="29"/>
        <v>21.3</v>
      </c>
      <c r="E936" s="205">
        <v>21.3</v>
      </c>
      <c r="F936" s="205"/>
      <c r="G936" s="205"/>
      <c r="H936" s="205"/>
      <c r="I936" s="205"/>
      <c r="J936" s="205"/>
      <c r="K936" s="205"/>
      <c r="L936" s="205"/>
      <c r="M936" s="205"/>
      <c r="N936" s="213"/>
    </row>
    <row r="937" ht="18" hidden="1" customHeight="1" spans="1:14">
      <c r="A937" s="207"/>
      <c r="B937" s="210" t="s">
        <v>1805</v>
      </c>
      <c r="C937" s="211">
        <v>6</v>
      </c>
      <c r="D937" s="211">
        <f t="shared" si="29"/>
        <v>6</v>
      </c>
      <c r="E937" s="211">
        <v>6</v>
      </c>
      <c r="F937" s="211"/>
      <c r="G937" s="211"/>
      <c r="H937" s="211"/>
      <c r="I937" s="211"/>
      <c r="J937" s="211"/>
      <c r="K937" s="211"/>
      <c r="L937" s="211"/>
      <c r="M937" s="211"/>
      <c r="N937" s="213"/>
    </row>
    <row r="938" ht="18" hidden="1" customHeight="1" spans="1:14">
      <c r="A938" s="207"/>
      <c r="B938" s="210" t="s">
        <v>1806</v>
      </c>
      <c r="C938" s="211">
        <v>15.3</v>
      </c>
      <c r="D938" s="211">
        <f t="shared" si="29"/>
        <v>15.3</v>
      </c>
      <c r="E938" s="211">
        <v>15.3</v>
      </c>
      <c r="F938" s="211"/>
      <c r="G938" s="211"/>
      <c r="H938" s="211"/>
      <c r="I938" s="211"/>
      <c r="J938" s="211"/>
      <c r="K938" s="211"/>
      <c r="L938" s="211"/>
      <c r="M938" s="211"/>
      <c r="N938" s="213"/>
    </row>
    <row r="939" ht="18" hidden="1" customHeight="1" spans="1:14">
      <c r="A939" s="207"/>
      <c r="B939" s="215" t="s">
        <v>876</v>
      </c>
      <c r="C939" s="205">
        <f t="shared" ref="C939:F939" si="30">C940+C956+C959</f>
        <v>2170.53</v>
      </c>
      <c r="D939" s="205">
        <f t="shared" si="30"/>
        <v>2170.53</v>
      </c>
      <c r="E939" s="205">
        <f t="shared" si="30"/>
        <v>1870.53</v>
      </c>
      <c r="F939" s="205">
        <f t="shared" si="30"/>
        <v>300</v>
      </c>
      <c r="G939" s="211"/>
      <c r="H939" s="211"/>
      <c r="I939" s="211"/>
      <c r="J939" s="211"/>
      <c r="K939" s="211"/>
      <c r="L939" s="211"/>
      <c r="M939" s="211"/>
      <c r="N939" s="213"/>
    </row>
    <row r="940" ht="18" hidden="1" customHeight="1" spans="1:14">
      <c r="A940" s="216">
        <v>811001</v>
      </c>
      <c r="B940" s="210" t="s">
        <v>1891</v>
      </c>
      <c r="C940" s="205">
        <v>2135.93</v>
      </c>
      <c r="D940" s="205">
        <f t="shared" ref="D940:D960" si="31">E940+F940</f>
        <v>2135.93</v>
      </c>
      <c r="E940" s="205">
        <v>1835.93</v>
      </c>
      <c r="F940" s="205">
        <v>300</v>
      </c>
      <c r="G940" s="205"/>
      <c r="H940" s="205"/>
      <c r="I940" s="205"/>
      <c r="J940" s="205"/>
      <c r="K940" s="205"/>
      <c r="L940" s="205"/>
      <c r="M940" s="205"/>
      <c r="N940" s="213"/>
    </row>
    <row r="941" ht="18" hidden="1" customHeight="1" spans="1:14">
      <c r="A941" s="207"/>
      <c r="B941" s="210" t="s">
        <v>1799</v>
      </c>
      <c r="C941" s="211">
        <v>17.4</v>
      </c>
      <c r="D941" s="211">
        <f t="shared" si="31"/>
        <v>17.4</v>
      </c>
      <c r="E941" s="211">
        <v>17.4</v>
      </c>
      <c r="F941" s="211"/>
      <c r="G941" s="211"/>
      <c r="H941" s="211"/>
      <c r="I941" s="211"/>
      <c r="J941" s="211"/>
      <c r="K941" s="211"/>
      <c r="L941" s="211"/>
      <c r="M941" s="211"/>
      <c r="N941" s="213"/>
    </row>
    <row r="942" ht="18" hidden="1" customHeight="1" spans="1:14">
      <c r="A942" s="207"/>
      <c r="B942" s="210" t="s">
        <v>1797</v>
      </c>
      <c r="C942" s="211">
        <v>23.86</v>
      </c>
      <c r="D942" s="211">
        <f t="shared" si="31"/>
        <v>23.86</v>
      </c>
      <c r="E942" s="211">
        <v>23.86</v>
      </c>
      <c r="F942" s="211"/>
      <c r="G942" s="211"/>
      <c r="H942" s="211"/>
      <c r="I942" s="211"/>
      <c r="J942" s="211"/>
      <c r="K942" s="211"/>
      <c r="L942" s="211"/>
      <c r="M942" s="211"/>
      <c r="N942" s="213"/>
    </row>
    <row r="943" ht="18" hidden="1" customHeight="1" spans="1:14">
      <c r="A943" s="207"/>
      <c r="B943" s="210" t="s">
        <v>1892</v>
      </c>
      <c r="C943" s="211">
        <v>35</v>
      </c>
      <c r="D943" s="211">
        <f t="shared" si="31"/>
        <v>35</v>
      </c>
      <c r="E943" s="211">
        <v>35</v>
      </c>
      <c r="F943" s="211"/>
      <c r="G943" s="211"/>
      <c r="H943" s="211"/>
      <c r="I943" s="211"/>
      <c r="J943" s="211"/>
      <c r="K943" s="211"/>
      <c r="L943" s="211"/>
      <c r="M943" s="211"/>
      <c r="N943" s="213"/>
    </row>
    <row r="944" ht="18" hidden="1" customHeight="1" spans="1:14">
      <c r="A944" s="207"/>
      <c r="B944" s="210" t="s">
        <v>1893</v>
      </c>
      <c r="C944" s="211">
        <v>300</v>
      </c>
      <c r="D944" s="211">
        <f t="shared" si="31"/>
        <v>300</v>
      </c>
      <c r="E944" s="211"/>
      <c r="F944" s="211">
        <v>300</v>
      </c>
      <c r="G944" s="211"/>
      <c r="H944" s="211"/>
      <c r="I944" s="211"/>
      <c r="J944" s="211"/>
      <c r="K944" s="211"/>
      <c r="L944" s="211"/>
      <c r="M944" s="211"/>
      <c r="N944" s="213"/>
    </row>
    <row r="945" ht="18" hidden="1" customHeight="1" spans="1:14">
      <c r="A945" s="207"/>
      <c r="B945" s="210" t="s">
        <v>1894</v>
      </c>
      <c r="C945" s="211">
        <v>850</v>
      </c>
      <c r="D945" s="211">
        <f t="shared" si="31"/>
        <v>850</v>
      </c>
      <c r="E945" s="211">
        <v>850</v>
      </c>
      <c r="F945" s="211"/>
      <c r="G945" s="211"/>
      <c r="H945" s="211"/>
      <c r="I945" s="211"/>
      <c r="J945" s="211"/>
      <c r="K945" s="211"/>
      <c r="L945" s="211"/>
      <c r="M945" s="211"/>
      <c r="N945" s="213"/>
    </row>
    <row r="946" ht="18" hidden="1" customHeight="1" spans="1:14">
      <c r="A946" s="207"/>
      <c r="B946" s="210" t="s">
        <v>1802</v>
      </c>
      <c r="C946" s="211">
        <v>5</v>
      </c>
      <c r="D946" s="211">
        <f t="shared" si="31"/>
        <v>5</v>
      </c>
      <c r="E946" s="211">
        <v>5</v>
      </c>
      <c r="F946" s="211"/>
      <c r="G946" s="211"/>
      <c r="H946" s="211"/>
      <c r="I946" s="211"/>
      <c r="J946" s="211"/>
      <c r="K946" s="211"/>
      <c r="L946" s="211"/>
      <c r="M946" s="211"/>
      <c r="N946" s="213"/>
    </row>
    <row r="947" ht="18" hidden="1" customHeight="1" spans="1:14">
      <c r="A947" s="207"/>
      <c r="B947" s="210" t="s">
        <v>1820</v>
      </c>
      <c r="C947" s="211">
        <v>27.7</v>
      </c>
      <c r="D947" s="211">
        <f t="shared" si="31"/>
        <v>27.7</v>
      </c>
      <c r="E947" s="211">
        <v>27.7</v>
      </c>
      <c r="F947" s="211"/>
      <c r="G947" s="211"/>
      <c r="H947" s="211"/>
      <c r="I947" s="211"/>
      <c r="J947" s="211"/>
      <c r="K947" s="211"/>
      <c r="L947" s="211"/>
      <c r="M947" s="211"/>
      <c r="N947" s="213"/>
    </row>
    <row r="948" ht="18" hidden="1" customHeight="1" spans="1:14">
      <c r="A948" s="207"/>
      <c r="B948" s="210" t="s">
        <v>1801</v>
      </c>
      <c r="C948" s="211">
        <v>609.75</v>
      </c>
      <c r="D948" s="211">
        <f t="shared" si="31"/>
        <v>609.75</v>
      </c>
      <c r="E948" s="211">
        <v>609.75</v>
      </c>
      <c r="F948" s="211"/>
      <c r="G948" s="211"/>
      <c r="H948" s="211"/>
      <c r="I948" s="211"/>
      <c r="J948" s="211"/>
      <c r="K948" s="211"/>
      <c r="L948" s="211"/>
      <c r="M948" s="211"/>
      <c r="N948" s="213"/>
    </row>
    <row r="949" ht="18" hidden="1" customHeight="1" spans="1:14">
      <c r="A949" s="207"/>
      <c r="B949" s="210" t="s">
        <v>1821</v>
      </c>
      <c r="C949" s="211">
        <v>5</v>
      </c>
      <c r="D949" s="211">
        <f t="shared" si="31"/>
        <v>5</v>
      </c>
      <c r="E949" s="211">
        <v>5</v>
      </c>
      <c r="F949" s="211"/>
      <c r="G949" s="211"/>
      <c r="H949" s="211"/>
      <c r="I949" s="211"/>
      <c r="J949" s="211"/>
      <c r="K949" s="211"/>
      <c r="L949" s="211"/>
      <c r="M949" s="211"/>
      <c r="N949" s="213"/>
    </row>
    <row r="950" ht="18" hidden="1" customHeight="1" spans="1:14">
      <c r="A950" s="207"/>
      <c r="B950" s="210" t="s">
        <v>1895</v>
      </c>
      <c r="C950" s="211">
        <v>60</v>
      </c>
      <c r="D950" s="211">
        <f t="shared" si="31"/>
        <v>60</v>
      </c>
      <c r="E950" s="211">
        <v>60</v>
      </c>
      <c r="F950" s="211"/>
      <c r="G950" s="211"/>
      <c r="H950" s="211"/>
      <c r="I950" s="211"/>
      <c r="J950" s="211"/>
      <c r="K950" s="211"/>
      <c r="L950" s="211"/>
      <c r="M950" s="211"/>
      <c r="N950" s="213"/>
    </row>
    <row r="951" ht="18" hidden="1" customHeight="1" spans="1:14">
      <c r="A951" s="207"/>
      <c r="B951" s="210" t="s">
        <v>1896</v>
      </c>
      <c r="C951" s="211">
        <v>40</v>
      </c>
      <c r="D951" s="211">
        <f t="shared" si="31"/>
        <v>40</v>
      </c>
      <c r="E951" s="211">
        <v>40</v>
      </c>
      <c r="F951" s="211"/>
      <c r="G951" s="211"/>
      <c r="H951" s="211"/>
      <c r="I951" s="211"/>
      <c r="J951" s="211"/>
      <c r="K951" s="211"/>
      <c r="L951" s="211"/>
      <c r="M951" s="211"/>
      <c r="N951" s="213"/>
    </row>
    <row r="952" ht="18" hidden="1" customHeight="1" spans="1:14">
      <c r="A952" s="207"/>
      <c r="B952" s="210" t="s">
        <v>1897</v>
      </c>
      <c r="C952" s="211">
        <v>50</v>
      </c>
      <c r="D952" s="211">
        <f t="shared" si="31"/>
        <v>50</v>
      </c>
      <c r="E952" s="211">
        <v>50</v>
      </c>
      <c r="F952" s="211"/>
      <c r="G952" s="211"/>
      <c r="H952" s="211"/>
      <c r="I952" s="211"/>
      <c r="J952" s="211"/>
      <c r="K952" s="211"/>
      <c r="L952" s="211"/>
      <c r="M952" s="211"/>
      <c r="N952" s="213"/>
    </row>
    <row r="953" ht="18" hidden="1" customHeight="1" spans="1:14">
      <c r="A953" s="207"/>
      <c r="B953" s="210" t="s">
        <v>1898</v>
      </c>
      <c r="C953" s="211">
        <v>100</v>
      </c>
      <c r="D953" s="211">
        <f t="shared" si="31"/>
        <v>100</v>
      </c>
      <c r="E953" s="211">
        <v>100</v>
      </c>
      <c r="F953" s="211"/>
      <c r="G953" s="211"/>
      <c r="H953" s="211"/>
      <c r="I953" s="211"/>
      <c r="J953" s="211"/>
      <c r="K953" s="211"/>
      <c r="L953" s="211"/>
      <c r="M953" s="211"/>
      <c r="N953" s="213"/>
    </row>
    <row r="954" ht="18" hidden="1" customHeight="1" spans="1:14">
      <c r="A954" s="207"/>
      <c r="B954" s="210" t="s">
        <v>1819</v>
      </c>
      <c r="C954" s="211">
        <v>7</v>
      </c>
      <c r="D954" s="211">
        <f t="shared" si="31"/>
        <v>7</v>
      </c>
      <c r="E954" s="211">
        <v>7</v>
      </c>
      <c r="F954" s="211"/>
      <c r="G954" s="211"/>
      <c r="H954" s="211"/>
      <c r="I954" s="211"/>
      <c r="J954" s="211"/>
      <c r="K954" s="211"/>
      <c r="L954" s="211"/>
      <c r="M954" s="211"/>
      <c r="N954" s="213"/>
    </row>
    <row r="955" ht="18" hidden="1" customHeight="1" spans="1:14">
      <c r="A955" s="207"/>
      <c r="B955" s="210" t="s">
        <v>1822</v>
      </c>
      <c r="C955" s="211">
        <v>5.22</v>
      </c>
      <c r="D955" s="211">
        <f t="shared" si="31"/>
        <v>5.22</v>
      </c>
      <c r="E955" s="211">
        <v>5.22</v>
      </c>
      <c r="F955" s="211"/>
      <c r="G955" s="211"/>
      <c r="H955" s="211"/>
      <c r="I955" s="211"/>
      <c r="J955" s="211"/>
      <c r="K955" s="211"/>
      <c r="L955" s="211"/>
      <c r="M955" s="211"/>
      <c r="N955" s="213"/>
    </row>
    <row r="956" ht="18" hidden="1" customHeight="1" spans="1:14">
      <c r="A956" s="216">
        <v>811002</v>
      </c>
      <c r="B956" s="217" t="s">
        <v>880</v>
      </c>
      <c r="C956" s="205">
        <v>27.6</v>
      </c>
      <c r="D956" s="205">
        <f t="shared" si="31"/>
        <v>27.6</v>
      </c>
      <c r="E956" s="205">
        <v>27.6</v>
      </c>
      <c r="F956" s="205"/>
      <c r="G956" s="205"/>
      <c r="H956" s="205"/>
      <c r="I956" s="205"/>
      <c r="J956" s="205"/>
      <c r="K956" s="205"/>
      <c r="L956" s="205"/>
      <c r="M956" s="205"/>
      <c r="N956" s="213"/>
    </row>
    <row r="957" ht="18" hidden="1" customHeight="1" spans="1:14">
      <c r="A957" s="207"/>
      <c r="B957" s="210" t="s">
        <v>1806</v>
      </c>
      <c r="C957" s="211">
        <v>18.6</v>
      </c>
      <c r="D957" s="211">
        <f t="shared" si="31"/>
        <v>18.6</v>
      </c>
      <c r="E957" s="211">
        <v>18.6</v>
      </c>
      <c r="F957" s="211"/>
      <c r="G957" s="211"/>
      <c r="H957" s="211"/>
      <c r="I957" s="211"/>
      <c r="J957" s="211"/>
      <c r="K957" s="211"/>
      <c r="L957" s="211"/>
      <c r="M957" s="211"/>
      <c r="N957" s="213"/>
    </row>
    <row r="958" ht="18" hidden="1" customHeight="1" spans="1:14">
      <c r="A958" s="207"/>
      <c r="B958" s="210" t="s">
        <v>1805</v>
      </c>
      <c r="C958" s="211">
        <v>9</v>
      </c>
      <c r="D958" s="211">
        <f t="shared" si="31"/>
        <v>9</v>
      </c>
      <c r="E958" s="211">
        <v>9</v>
      </c>
      <c r="F958" s="211"/>
      <c r="G958" s="211"/>
      <c r="H958" s="211"/>
      <c r="I958" s="211"/>
      <c r="J958" s="211"/>
      <c r="K958" s="211"/>
      <c r="L958" s="211"/>
      <c r="M958" s="211"/>
      <c r="N958" s="213"/>
    </row>
    <row r="959" ht="18" hidden="1" customHeight="1" spans="1:14">
      <c r="A959" s="216">
        <v>811004</v>
      </c>
      <c r="B959" s="217" t="s">
        <v>884</v>
      </c>
      <c r="C959" s="205">
        <v>7</v>
      </c>
      <c r="D959" s="205">
        <f t="shared" si="31"/>
        <v>7</v>
      </c>
      <c r="E959" s="205">
        <v>7</v>
      </c>
      <c r="F959" s="205"/>
      <c r="G959" s="205"/>
      <c r="H959" s="205"/>
      <c r="I959" s="205"/>
      <c r="J959" s="205"/>
      <c r="K959" s="205"/>
      <c r="L959" s="205"/>
      <c r="M959" s="205"/>
      <c r="N959" s="213"/>
    </row>
    <row r="960" ht="18" hidden="1" customHeight="1" spans="1:14">
      <c r="A960" s="207"/>
      <c r="B960" s="210" t="s">
        <v>1899</v>
      </c>
      <c r="C960" s="211">
        <v>7</v>
      </c>
      <c r="D960" s="211">
        <f t="shared" si="31"/>
        <v>7</v>
      </c>
      <c r="E960" s="211">
        <v>7</v>
      </c>
      <c r="F960" s="211"/>
      <c r="G960" s="211"/>
      <c r="H960" s="211"/>
      <c r="I960" s="211"/>
      <c r="J960" s="211"/>
      <c r="K960" s="211"/>
      <c r="L960" s="211"/>
      <c r="M960" s="211"/>
      <c r="N960" s="213"/>
    </row>
    <row r="961" ht="18" hidden="1" customHeight="1" spans="1:14">
      <c r="A961" s="207"/>
      <c r="B961" s="215" t="s">
        <v>887</v>
      </c>
      <c r="C961" s="205">
        <f t="shared" ref="C961:F961" si="32">C962+C984+C987</f>
        <v>12023.07</v>
      </c>
      <c r="D961" s="205">
        <f t="shared" si="32"/>
        <v>12023.07</v>
      </c>
      <c r="E961" s="205">
        <f t="shared" si="32"/>
        <v>3123.07</v>
      </c>
      <c r="F961" s="205">
        <f t="shared" si="32"/>
        <v>8900</v>
      </c>
      <c r="G961" s="211"/>
      <c r="H961" s="211"/>
      <c r="I961" s="211"/>
      <c r="J961" s="211"/>
      <c r="K961" s="211"/>
      <c r="L961" s="211"/>
      <c r="M961" s="211"/>
      <c r="N961" s="213"/>
    </row>
    <row r="962" ht="18" hidden="1" customHeight="1" spans="1:14">
      <c r="A962" s="216">
        <v>812001</v>
      </c>
      <c r="B962" s="210" t="s">
        <v>1900</v>
      </c>
      <c r="C962" s="205">
        <v>11999.38</v>
      </c>
      <c r="D962" s="205">
        <f t="shared" ref="D962:D988" si="33">E962+F962</f>
        <v>11999.38</v>
      </c>
      <c r="E962" s="205">
        <v>3099.38</v>
      </c>
      <c r="F962" s="205">
        <v>8900</v>
      </c>
      <c r="G962" s="205"/>
      <c r="H962" s="205"/>
      <c r="I962" s="205"/>
      <c r="J962" s="205"/>
      <c r="K962" s="205"/>
      <c r="L962" s="205"/>
      <c r="M962" s="205"/>
      <c r="N962" s="213"/>
    </row>
    <row r="963" ht="18" hidden="1" customHeight="1" spans="1:14">
      <c r="A963" s="207"/>
      <c r="B963" s="210" t="s">
        <v>1801</v>
      </c>
      <c r="C963" s="211">
        <v>290.52</v>
      </c>
      <c r="D963" s="211">
        <f t="shared" si="33"/>
        <v>290.52</v>
      </c>
      <c r="E963" s="211">
        <v>290.52</v>
      </c>
      <c r="F963" s="211"/>
      <c r="G963" s="211"/>
      <c r="H963" s="211"/>
      <c r="I963" s="211"/>
      <c r="J963" s="211"/>
      <c r="K963" s="211"/>
      <c r="L963" s="211"/>
      <c r="M963" s="211"/>
      <c r="N963" s="213"/>
    </row>
    <row r="964" ht="18" hidden="1" customHeight="1" spans="1:14">
      <c r="A964" s="207"/>
      <c r="B964" s="210" t="s">
        <v>1799</v>
      </c>
      <c r="C964" s="211">
        <v>13.8</v>
      </c>
      <c r="D964" s="211">
        <f t="shared" si="33"/>
        <v>13.8</v>
      </c>
      <c r="E964" s="211">
        <v>13.8</v>
      </c>
      <c r="F964" s="211"/>
      <c r="G964" s="211"/>
      <c r="H964" s="211"/>
      <c r="I964" s="211"/>
      <c r="J964" s="211"/>
      <c r="K964" s="211"/>
      <c r="L964" s="211"/>
      <c r="M964" s="211"/>
      <c r="N964" s="213"/>
    </row>
    <row r="965" ht="18" hidden="1" customHeight="1" spans="1:14">
      <c r="A965" s="207"/>
      <c r="B965" s="210" t="s">
        <v>1797</v>
      </c>
      <c r="C965" s="211">
        <v>16.44</v>
      </c>
      <c r="D965" s="211">
        <f t="shared" si="33"/>
        <v>16.44</v>
      </c>
      <c r="E965" s="211">
        <v>16.44</v>
      </c>
      <c r="F965" s="211"/>
      <c r="G965" s="211"/>
      <c r="H965" s="211"/>
      <c r="I965" s="211"/>
      <c r="J965" s="211"/>
      <c r="K965" s="211"/>
      <c r="L965" s="211"/>
      <c r="M965" s="211"/>
      <c r="N965" s="213"/>
    </row>
    <row r="966" ht="18" hidden="1" customHeight="1" spans="1:14">
      <c r="A966" s="207"/>
      <c r="B966" s="210" t="s">
        <v>1824</v>
      </c>
      <c r="C966" s="211">
        <v>3.5</v>
      </c>
      <c r="D966" s="211">
        <f t="shared" si="33"/>
        <v>3.5</v>
      </c>
      <c r="E966" s="211">
        <v>3.5</v>
      </c>
      <c r="F966" s="211"/>
      <c r="G966" s="211"/>
      <c r="H966" s="211"/>
      <c r="I966" s="211"/>
      <c r="J966" s="211"/>
      <c r="K966" s="211"/>
      <c r="L966" s="211"/>
      <c r="M966" s="211"/>
      <c r="N966" s="213"/>
    </row>
    <row r="967" ht="18" hidden="1" customHeight="1" spans="1:14">
      <c r="A967" s="207"/>
      <c r="B967" s="210" t="s">
        <v>1821</v>
      </c>
      <c r="C967" s="211">
        <v>5</v>
      </c>
      <c r="D967" s="211">
        <f t="shared" si="33"/>
        <v>5</v>
      </c>
      <c r="E967" s="211">
        <v>5</v>
      </c>
      <c r="F967" s="211"/>
      <c r="G967" s="211"/>
      <c r="H967" s="211"/>
      <c r="I967" s="211"/>
      <c r="J967" s="211"/>
      <c r="K967" s="211"/>
      <c r="L967" s="211"/>
      <c r="M967" s="211"/>
      <c r="N967" s="213"/>
    </row>
    <row r="968" ht="18" hidden="1" customHeight="1" spans="1:14">
      <c r="A968" s="207"/>
      <c r="B968" s="210" t="s">
        <v>1802</v>
      </c>
      <c r="C968" s="211">
        <v>5</v>
      </c>
      <c r="D968" s="211">
        <f t="shared" si="33"/>
        <v>5</v>
      </c>
      <c r="E968" s="211">
        <v>5</v>
      </c>
      <c r="F968" s="211"/>
      <c r="G968" s="211"/>
      <c r="H968" s="211"/>
      <c r="I968" s="211"/>
      <c r="J968" s="211"/>
      <c r="K968" s="211"/>
      <c r="L968" s="211"/>
      <c r="M968" s="211"/>
      <c r="N968" s="213"/>
    </row>
    <row r="969" ht="18" hidden="1" customHeight="1" spans="1:14">
      <c r="A969" s="207"/>
      <c r="B969" s="210" t="s">
        <v>1901</v>
      </c>
      <c r="C969" s="211">
        <v>1700</v>
      </c>
      <c r="D969" s="211">
        <f t="shared" si="33"/>
        <v>1700</v>
      </c>
      <c r="E969" s="211">
        <v>1700</v>
      </c>
      <c r="F969" s="211"/>
      <c r="G969" s="211"/>
      <c r="H969" s="211"/>
      <c r="I969" s="211"/>
      <c r="J969" s="211"/>
      <c r="K969" s="211"/>
      <c r="L969" s="211"/>
      <c r="M969" s="211"/>
      <c r="N969" s="213"/>
    </row>
    <row r="970" ht="18" hidden="1" customHeight="1" spans="1:14">
      <c r="A970" s="207"/>
      <c r="B970" s="210" t="s">
        <v>1808</v>
      </c>
      <c r="C970" s="211">
        <v>7</v>
      </c>
      <c r="D970" s="211">
        <f t="shared" si="33"/>
        <v>7</v>
      </c>
      <c r="E970" s="211">
        <v>7</v>
      </c>
      <c r="F970" s="211"/>
      <c r="G970" s="211"/>
      <c r="H970" s="211"/>
      <c r="I970" s="211"/>
      <c r="J970" s="211"/>
      <c r="K970" s="211"/>
      <c r="L970" s="211"/>
      <c r="M970" s="211"/>
      <c r="N970" s="213"/>
    </row>
    <row r="971" ht="18" hidden="1" customHeight="1" spans="1:14">
      <c r="A971" s="207"/>
      <c r="B971" s="210" t="s">
        <v>1878</v>
      </c>
      <c r="C971" s="211">
        <v>65.2</v>
      </c>
      <c r="D971" s="211">
        <f t="shared" si="33"/>
        <v>65.2</v>
      </c>
      <c r="E971" s="211">
        <v>65.2</v>
      </c>
      <c r="F971" s="211"/>
      <c r="G971" s="211"/>
      <c r="H971" s="211"/>
      <c r="I971" s="211"/>
      <c r="J971" s="211"/>
      <c r="K971" s="211"/>
      <c r="L971" s="211"/>
      <c r="M971" s="211"/>
      <c r="N971" s="213"/>
    </row>
    <row r="972" ht="18" hidden="1" customHeight="1" spans="1:14">
      <c r="A972" s="207"/>
      <c r="B972" s="210" t="s">
        <v>1902</v>
      </c>
      <c r="C972" s="211">
        <v>400</v>
      </c>
      <c r="D972" s="211">
        <f t="shared" si="33"/>
        <v>400</v>
      </c>
      <c r="E972" s="211"/>
      <c r="F972" s="211">
        <v>400</v>
      </c>
      <c r="G972" s="211"/>
      <c r="H972" s="211"/>
      <c r="I972" s="211"/>
      <c r="J972" s="211"/>
      <c r="K972" s="211"/>
      <c r="L972" s="211"/>
      <c r="M972" s="211"/>
      <c r="N972" s="213"/>
    </row>
    <row r="973" ht="18" hidden="1" customHeight="1" spans="1:14">
      <c r="A973" s="207"/>
      <c r="B973" s="210" t="s">
        <v>1903</v>
      </c>
      <c r="C973" s="211">
        <v>50</v>
      </c>
      <c r="D973" s="211">
        <f t="shared" si="33"/>
        <v>50</v>
      </c>
      <c r="E973" s="211">
        <v>50</v>
      </c>
      <c r="F973" s="211"/>
      <c r="G973" s="211"/>
      <c r="H973" s="211"/>
      <c r="I973" s="211"/>
      <c r="J973" s="211"/>
      <c r="K973" s="211"/>
      <c r="L973" s="211"/>
      <c r="M973" s="211"/>
      <c r="N973" s="213"/>
    </row>
    <row r="974" ht="18" hidden="1" customHeight="1" spans="1:14">
      <c r="A974" s="207"/>
      <c r="B974" s="210" t="s">
        <v>1904</v>
      </c>
      <c r="C974" s="211">
        <v>350</v>
      </c>
      <c r="D974" s="211">
        <f t="shared" si="33"/>
        <v>350</v>
      </c>
      <c r="E974" s="211">
        <v>350</v>
      </c>
      <c r="F974" s="211"/>
      <c r="G974" s="211"/>
      <c r="H974" s="211"/>
      <c r="I974" s="211"/>
      <c r="J974" s="211"/>
      <c r="K974" s="211"/>
      <c r="L974" s="211"/>
      <c r="M974" s="211"/>
      <c r="N974" s="213"/>
    </row>
    <row r="975" ht="18" hidden="1" customHeight="1" spans="1:14">
      <c r="A975" s="207"/>
      <c r="B975" s="210" t="s">
        <v>1905</v>
      </c>
      <c r="C975" s="211">
        <v>8500</v>
      </c>
      <c r="D975" s="211">
        <f t="shared" si="33"/>
        <v>8500</v>
      </c>
      <c r="E975" s="211"/>
      <c r="F975" s="211">
        <v>8500</v>
      </c>
      <c r="G975" s="211"/>
      <c r="H975" s="211"/>
      <c r="I975" s="211"/>
      <c r="J975" s="211"/>
      <c r="K975" s="211"/>
      <c r="L975" s="211"/>
      <c r="M975" s="211"/>
      <c r="N975" s="213"/>
    </row>
    <row r="976" ht="18" hidden="1" customHeight="1" spans="1:14">
      <c r="A976" s="207"/>
      <c r="B976" s="210" t="s">
        <v>1906</v>
      </c>
      <c r="C976" s="211">
        <v>172</v>
      </c>
      <c r="D976" s="211">
        <f t="shared" si="33"/>
        <v>172</v>
      </c>
      <c r="E976" s="211">
        <v>172</v>
      </c>
      <c r="F976" s="211"/>
      <c r="G976" s="211"/>
      <c r="H976" s="211"/>
      <c r="I976" s="211"/>
      <c r="J976" s="211"/>
      <c r="K976" s="211"/>
      <c r="L976" s="211"/>
      <c r="M976" s="211"/>
      <c r="N976" s="213"/>
    </row>
    <row r="977" ht="18" hidden="1" customHeight="1" spans="1:14">
      <c r="A977" s="207"/>
      <c r="B977" s="210" t="s">
        <v>1907</v>
      </c>
      <c r="C977" s="211">
        <v>180</v>
      </c>
      <c r="D977" s="211">
        <f t="shared" si="33"/>
        <v>180</v>
      </c>
      <c r="E977" s="211">
        <v>180</v>
      </c>
      <c r="F977" s="211"/>
      <c r="G977" s="211"/>
      <c r="H977" s="211"/>
      <c r="I977" s="211"/>
      <c r="J977" s="211"/>
      <c r="K977" s="211"/>
      <c r="L977" s="211"/>
      <c r="M977" s="211"/>
      <c r="N977" s="213"/>
    </row>
    <row r="978" ht="18" hidden="1" customHeight="1" spans="1:14">
      <c r="A978" s="207"/>
      <c r="B978" s="210" t="s">
        <v>1820</v>
      </c>
      <c r="C978" s="211">
        <v>43.78</v>
      </c>
      <c r="D978" s="211">
        <f t="shared" si="33"/>
        <v>43.78</v>
      </c>
      <c r="E978" s="211">
        <v>43.78</v>
      </c>
      <c r="F978" s="211"/>
      <c r="G978" s="211"/>
      <c r="H978" s="211"/>
      <c r="I978" s="211"/>
      <c r="J978" s="211"/>
      <c r="K978" s="211"/>
      <c r="L978" s="211"/>
      <c r="M978" s="211"/>
      <c r="N978" s="213"/>
    </row>
    <row r="979" ht="18" hidden="1" customHeight="1" spans="1:14">
      <c r="A979" s="207"/>
      <c r="B979" s="210" t="s">
        <v>1819</v>
      </c>
      <c r="C979" s="211">
        <v>14</v>
      </c>
      <c r="D979" s="211">
        <f t="shared" si="33"/>
        <v>14</v>
      </c>
      <c r="E979" s="211">
        <v>14</v>
      </c>
      <c r="F979" s="211"/>
      <c r="G979" s="211"/>
      <c r="H979" s="211"/>
      <c r="I979" s="211"/>
      <c r="J979" s="211"/>
      <c r="K979" s="211"/>
      <c r="L979" s="211"/>
      <c r="M979" s="211"/>
      <c r="N979" s="213"/>
    </row>
    <row r="980" ht="18" hidden="1" customHeight="1" spans="1:14">
      <c r="A980" s="207"/>
      <c r="B980" s="210" t="s">
        <v>1908</v>
      </c>
      <c r="C980" s="211">
        <v>39</v>
      </c>
      <c r="D980" s="211">
        <f t="shared" si="33"/>
        <v>39</v>
      </c>
      <c r="E980" s="211">
        <v>39</v>
      </c>
      <c r="F980" s="211"/>
      <c r="G980" s="211"/>
      <c r="H980" s="211"/>
      <c r="I980" s="211"/>
      <c r="J980" s="211"/>
      <c r="K980" s="211"/>
      <c r="L980" s="211"/>
      <c r="M980" s="211"/>
      <c r="N980" s="213"/>
    </row>
    <row r="981" ht="18" hidden="1" customHeight="1" spans="1:14">
      <c r="A981" s="207"/>
      <c r="B981" s="210" t="s">
        <v>1822</v>
      </c>
      <c r="C981" s="211">
        <v>4.14</v>
      </c>
      <c r="D981" s="211">
        <f t="shared" si="33"/>
        <v>4.14</v>
      </c>
      <c r="E981" s="211">
        <v>4.14</v>
      </c>
      <c r="F981" s="211"/>
      <c r="G981" s="211"/>
      <c r="H981" s="211"/>
      <c r="I981" s="211"/>
      <c r="J981" s="211"/>
      <c r="K981" s="211"/>
      <c r="L981" s="211"/>
      <c r="M981" s="211"/>
      <c r="N981" s="213"/>
    </row>
    <row r="982" ht="18" hidden="1" customHeight="1" spans="1:14">
      <c r="A982" s="207"/>
      <c r="B982" s="210" t="s">
        <v>1866</v>
      </c>
      <c r="C982" s="211">
        <v>60</v>
      </c>
      <c r="D982" s="211">
        <f t="shared" si="33"/>
        <v>60</v>
      </c>
      <c r="E982" s="211">
        <v>60</v>
      </c>
      <c r="F982" s="211"/>
      <c r="G982" s="211"/>
      <c r="H982" s="211"/>
      <c r="I982" s="211"/>
      <c r="J982" s="211"/>
      <c r="K982" s="211"/>
      <c r="L982" s="211"/>
      <c r="M982" s="211"/>
      <c r="N982" s="213"/>
    </row>
    <row r="983" ht="18" hidden="1" customHeight="1" spans="1:14">
      <c r="A983" s="207"/>
      <c r="B983" s="210" t="s">
        <v>1909</v>
      </c>
      <c r="C983" s="211">
        <v>80</v>
      </c>
      <c r="D983" s="211">
        <f t="shared" si="33"/>
        <v>80</v>
      </c>
      <c r="E983" s="211">
        <v>80</v>
      </c>
      <c r="F983" s="211"/>
      <c r="G983" s="211"/>
      <c r="H983" s="211"/>
      <c r="I983" s="211"/>
      <c r="J983" s="211"/>
      <c r="K983" s="211"/>
      <c r="L983" s="211"/>
      <c r="M983" s="211"/>
      <c r="N983" s="213"/>
    </row>
    <row r="984" ht="18" hidden="1" customHeight="1" spans="1:14">
      <c r="A984" s="216">
        <v>812002</v>
      </c>
      <c r="B984" s="210" t="s">
        <v>1910</v>
      </c>
      <c r="C984" s="205">
        <v>22.6</v>
      </c>
      <c r="D984" s="205">
        <f t="shared" si="33"/>
        <v>22.6</v>
      </c>
      <c r="E984" s="205">
        <v>22.6</v>
      </c>
      <c r="F984" s="205"/>
      <c r="G984" s="205"/>
      <c r="H984" s="205"/>
      <c r="I984" s="205"/>
      <c r="J984" s="205"/>
      <c r="K984" s="205"/>
      <c r="L984" s="205"/>
      <c r="M984" s="205"/>
      <c r="N984" s="213"/>
    </row>
    <row r="985" ht="18" hidden="1" customHeight="1" spans="1:14">
      <c r="A985" s="207"/>
      <c r="B985" s="210" t="s">
        <v>1805</v>
      </c>
      <c r="C985" s="211">
        <v>7</v>
      </c>
      <c r="D985" s="211">
        <f t="shared" si="33"/>
        <v>7</v>
      </c>
      <c r="E985" s="211">
        <v>7</v>
      </c>
      <c r="F985" s="211"/>
      <c r="G985" s="211"/>
      <c r="H985" s="211"/>
      <c r="I985" s="211"/>
      <c r="J985" s="211"/>
      <c r="K985" s="211"/>
      <c r="L985" s="211"/>
      <c r="M985" s="211"/>
      <c r="N985" s="213"/>
    </row>
    <row r="986" ht="18" hidden="1" customHeight="1" spans="1:14">
      <c r="A986" s="207"/>
      <c r="B986" s="210" t="s">
        <v>1806</v>
      </c>
      <c r="C986" s="211">
        <v>15.6</v>
      </c>
      <c r="D986" s="211">
        <f t="shared" si="33"/>
        <v>15.6</v>
      </c>
      <c r="E986" s="211">
        <v>15.6</v>
      </c>
      <c r="F986" s="211"/>
      <c r="G986" s="211"/>
      <c r="H986" s="211"/>
      <c r="I986" s="211"/>
      <c r="J986" s="211"/>
      <c r="K986" s="211"/>
      <c r="L986" s="211"/>
      <c r="M986" s="211"/>
      <c r="N986" s="213"/>
    </row>
    <row r="987" ht="18" hidden="1" customHeight="1" spans="1:14">
      <c r="A987" s="216">
        <v>812005</v>
      </c>
      <c r="B987" s="210" t="s">
        <v>1911</v>
      </c>
      <c r="C987" s="205">
        <v>1.09</v>
      </c>
      <c r="D987" s="205">
        <f t="shared" si="33"/>
        <v>1.09</v>
      </c>
      <c r="E987" s="205">
        <v>1.09</v>
      </c>
      <c r="F987" s="205"/>
      <c r="G987" s="205"/>
      <c r="H987" s="205"/>
      <c r="I987" s="205"/>
      <c r="J987" s="205"/>
      <c r="K987" s="205"/>
      <c r="L987" s="205"/>
      <c r="M987" s="205"/>
      <c r="N987" s="213"/>
    </row>
    <row r="988" ht="18" hidden="1" customHeight="1" spans="1:14">
      <c r="A988" s="207"/>
      <c r="B988" s="210" t="s">
        <v>1912</v>
      </c>
      <c r="C988" s="211">
        <v>1.09</v>
      </c>
      <c r="D988" s="211">
        <f t="shared" si="33"/>
        <v>1.09</v>
      </c>
      <c r="E988" s="211">
        <v>1.09</v>
      </c>
      <c r="F988" s="211"/>
      <c r="G988" s="211"/>
      <c r="H988" s="211"/>
      <c r="I988" s="211"/>
      <c r="J988" s="211"/>
      <c r="K988" s="211"/>
      <c r="L988" s="211"/>
      <c r="M988" s="211"/>
      <c r="N988" s="213"/>
    </row>
    <row r="989" ht="18" hidden="1" customHeight="1" spans="1:14">
      <c r="A989" s="207"/>
      <c r="B989" s="215" t="s">
        <v>902</v>
      </c>
      <c r="C989" s="205">
        <f t="shared" ref="C989:F989" si="34">C990+C1017</f>
        <v>1913.87</v>
      </c>
      <c r="D989" s="205">
        <f t="shared" si="34"/>
        <v>1913.87</v>
      </c>
      <c r="E989" s="205">
        <f t="shared" si="34"/>
        <v>1325.61</v>
      </c>
      <c r="F989" s="205">
        <f t="shared" si="34"/>
        <v>588.26</v>
      </c>
      <c r="G989" s="211"/>
      <c r="H989" s="211"/>
      <c r="I989" s="211"/>
      <c r="J989" s="211"/>
      <c r="K989" s="211"/>
      <c r="L989" s="211"/>
      <c r="M989" s="211"/>
      <c r="N989" s="213"/>
    </row>
    <row r="990" ht="18" hidden="1" customHeight="1" spans="1:14">
      <c r="A990" s="216">
        <v>813001</v>
      </c>
      <c r="B990" s="210" t="s">
        <v>1913</v>
      </c>
      <c r="C990" s="205">
        <v>1848.97</v>
      </c>
      <c r="D990" s="205">
        <f t="shared" ref="D990:D1019" si="35">E990+F990</f>
        <v>1848.97</v>
      </c>
      <c r="E990" s="205">
        <v>1260.71</v>
      </c>
      <c r="F990" s="205">
        <v>588.26</v>
      </c>
      <c r="G990" s="205"/>
      <c r="H990" s="205"/>
      <c r="I990" s="205"/>
      <c r="J990" s="205"/>
      <c r="K990" s="205"/>
      <c r="L990" s="205"/>
      <c r="M990" s="205"/>
      <c r="N990" s="213"/>
    </row>
    <row r="991" ht="18" hidden="1" customHeight="1" spans="1:14">
      <c r="A991" s="207"/>
      <c r="B991" s="210" t="s">
        <v>1914</v>
      </c>
      <c r="C991" s="211">
        <v>10</v>
      </c>
      <c r="D991" s="211">
        <f t="shared" si="35"/>
        <v>10</v>
      </c>
      <c r="E991" s="211">
        <v>10</v>
      </c>
      <c r="F991" s="211"/>
      <c r="G991" s="211"/>
      <c r="H991" s="211"/>
      <c r="I991" s="211"/>
      <c r="J991" s="211"/>
      <c r="K991" s="211"/>
      <c r="L991" s="211"/>
      <c r="M991" s="211"/>
      <c r="N991" s="213"/>
    </row>
    <row r="992" ht="18" hidden="1" customHeight="1" spans="1:14">
      <c r="A992" s="207"/>
      <c r="B992" s="210" t="s">
        <v>1915</v>
      </c>
      <c r="C992" s="211">
        <v>30</v>
      </c>
      <c r="D992" s="211">
        <f t="shared" si="35"/>
        <v>30</v>
      </c>
      <c r="E992" s="211">
        <v>30</v>
      </c>
      <c r="F992" s="211"/>
      <c r="G992" s="211"/>
      <c r="H992" s="211"/>
      <c r="I992" s="211"/>
      <c r="J992" s="211"/>
      <c r="K992" s="211"/>
      <c r="L992" s="211"/>
      <c r="M992" s="211"/>
      <c r="N992" s="213"/>
    </row>
    <row r="993" ht="18" hidden="1" customHeight="1" spans="1:14">
      <c r="A993" s="207"/>
      <c r="B993" s="210" t="s">
        <v>1808</v>
      </c>
      <c r="C993" s="211">
        <v>10.5</v>
      </c>
      <c r="D993" s="211">
        <f t="shared" si="35"/>
        <v>10.5</v>
      </c>
      <c r="E993" s="211">
        <v>10.5</v>
      </c>
      <c r="F993" s="211"/>
      <c r="G993" s="211"/>
      <c r="H993" s="211"/>
      <c r="I993" s="211"/>
      <c r="J993" s="211"/>
      <c r="K993" s="211"/>
      <c r="L993" s="211"/>
      <c r="M993" s="211"/>
      <c r="N993" s="213"/>
    </row>
    <row r="994" ht="18" hidden="1" customHeight="1" spans="1:14">
      <c r="A994" s="207"/>
      <c r="B994" s="210" t="s">
        <v>1824</v>
      </c>
      <c r="C994" s="211">
        <v>3.5</v>
      </c>
      <c r="D994" s="211">
        <f t="shared" si="35"/>
        <v>3.5</v>
      </c>
      <c r="E994" s="211">
        <v>3.5</v>
      </c>
      <c r="F994" s="211"/>
      <c r="G994" s="211"/>
      <c r="H994" s="211"/>
      <c r="I994" s="211"/>
      <c r="J994" s="211"/>
      <c r="K994" s="211"/>
      <c r="L994" s="211"/>
      <c r="M994" s="211"/>
      <c r="N994" s="213"/>
    </row>
    <row r="995" ht="18" hidden="1" customHeight="1" spans="1:14">
      <c r="A995" s="207"/>
      <c r="B995" s="210" t="s">
        <v>1801</v>
      </c>
      <c r="C995" s="211">
        <v>713.04</v>
      </c>
      <c r="D995" s="211">
        <f t="shared" si="35"/>
        <v>713.04</v>
      </c>
      <c r="E995" s="211">
        <v>713.04</v>
      </c>
      <c r="F995" s="211"/>
      <c r="G995" s="211"/>
      <c r="H995" s="211"/>
      <c r="I995" s="211"/>
      <c r="J995" s="211"/>
      <c r="K995" s="211"/>
      <c r="L995" s="211"/>
      <c r="M995" s="211"/>
      <c r="N995" s="213"/>
    </row>
    <row r="996" ht="18" hidden="1" customHeight="1" spans="1:14">
      <c r="A996" s="207"/>
      <c r="B996" s="210" t="s">
        <v>1916</v>
      </c>
      <c r="C996" s="211">
        <v>1</v>
      </c>
      <c r="D996" s="211">
        <f t="shared" si="35"/>
        <v>1</v>
      </c>
      <c r="E996" s="211">
        <v>1</v>
      </c>
      <c r="F996" s="211"/>
      <c r="G996" s="211"/>
      <c r="H996" s="211"/>
      <c r="I996" s="211"/>
      <c r="J996" s="211"/>
      <c r="K996" s="211"/>
      <c r="L996" s="211"/>
      <c r="M996" s="211"/>
      <c r="N996" s="213"/>
    </row>
    <row r="997" ht="18" hidden="1" customHeight="1" spans="1:14">
      <c r="A997" s="207"/>
      <c r="B997" s="210" t="s">
        <v>1917</v>
      </c>
      <c r="C997" s="211">
        <v>2</v>
      </c>
      <c r="D997" s="211">
        <f t="shared" si="35"/>
        <v>2</v>
      </c>
      <c r="E997" s="211"/>
      <c r="F997" s="211">
        <v>2</v>
      </c>
      <c r="G997" s="211"/>
      <c r="H997" s="211"/>
      <c r="I997" s="211"/>
      <c r="J997" s="211"/>
      <c r="K997" s="211"/>
      <c r="L997" s="211"/>
      <c r="M997" s="211"/>
      <c r="N997" s="213"/>
    </row>
    <row r="998" ht="18" hidden="1" customHeight="1" spans="1:14">
      <c r="A998" s="207"/>
      <c r="B998" s="210" t="s">
        <v>1918</v>
      </c>
      <c r="C998" s="211">
        <v>16.8</v>
      </c>
      <c r="D998" s="211">
        <f t="shared" si="35"/>
        <v>16.8</v>
      </c>
      <c r="E998" s="211"/>
      <c r="F998" s="211">
        <v>16.8</v>
      </c>
      <c r="G998" s="211"/>
      <c r="H998" s="211"/>
      <c r="I998" s="211"/>
      <c r="J998" s="211"/>
      <c r="K998" s="211"/>
      <c r="L998" s="211"/>
      <c r="M998" s="211"/>
      <c r="N998" s="213"/>
    </row>
    <row r="999" ht="18" hidden="1" customHeight="1" spans="1:14">
      <c r="A999" s="207"/>
      <c r="B999" s="210" t="s">
        <v>1919</v>
      </c>
      <c r="C999" s="211">
        <v>210</v>
      </c>
      <c r="D999" s="211">
        <f t="shared" si="35"/>
        <v>210</v>
      </c>
      <c r="E999" s="211">
        <v>210</v>
      </c>
      <c r="F999" s="211"/>
      <c r="G999" s="211"/>
      <c r="H999" s="211"/>
      <c r="I999" s="211"/>
      <c r="J999" s="211"/>
      <c r="K999" s="211"/>
      <c r="L999" s="211"/>
      <c r="M999" s="211"/>
      <c r="N999" s="213"/>
    </row>
    <row r="1000" ht="18" hidden="1" customHeight="1" spans="1:14">
      <c r="A1000" s="207"/>
      <c r="B1000" s="210" t="s">
        <v>1920</v>
      </c>
      <c r="C1000" s="211">
        <v>2</v>
      </c>
      <c r="D1000" s="211">
        <f t="shared" si="35"/>
        <v>2</v>
      </c>
      <c r="E1000" s="211"/>
      <c r="F1000" s="211">
        <v>2</v>
      </c>
      <c r="G1000" s="211"/>
      <c r="H1000" s="211"/>
      <c r="I1000" s="211"/>
      <c r="J1000" s="211"/>
      <c r="K1000" s="211"/>
      <c r="L1000" s="211"/>
      <c r="M1000" s="211"/>
      <c r="N1000" s="213"/>
    </row>
    <row r="1001" ht="18" hidden="1" customHeight="1" spans="1:14">
      <c r="A1001" s="207"/>
      <c r="B1001" s="210" t="s">
        <v>1820</v>
      </c>
      <c r="C1001" s="211">
        <v>135.23</v>
      </c>
      <c r="D1001" s="211">
        <f t="shared" si="35"/>
        <v>135.23</v>
      </c>
      <c r="E1001" s="211">
        <v>135.23</v>
      </c>
      <c r="F1001" s="211"/>
      <c r="G1001" s="211"/>
      <c r="H1001" s="211"/>
      <c r="I1001" s="211"/>
      <c r="J1001" s="211"/>
      <c r="K1001" s="211"/>
      <c r="L1001" s="211"/>
      <c r="M1001" s="211"/>
      <c r="N1001" s="213"/>
    </row>
    <row r="1002" ht="18" hidden="1" customHeight="1" spans="1:14">
      <c r="A1002" s="207"/>
      <c r="B1002" s="210" t="s">
        <v>1921</v>
      </c>
      <c r="C1002" s="211">
        <v>11.46</v>
      </c>
      <c r="D1002" s="211">
        <f t="shared" si="35"/>
        <v>11.46</v>
      </c>
      <c r="E1002" s="211"/>
      <c r="F1002" s="211">
        <v>11.46</v>
      </c>
      <c r="G1002" s="211"/>
      <c r="H1002" s="211"/>
      <c r="I1002" s="211"/>
      <c r="J1002" s="211"/>
      <c r="K1002" s="211"/>
      <c r="L1002" s="211"/>
      <c r="M1002" s="211"/>
      <c r="N1002" s="213"/>
    </row>
    <row r="1003" ht="18" hidden="1" customHeight="1" spans="1:14">
      <c r="A1003" s="207"/>
      <c r="B1003" s="210" t="s">
        <v>1802</v>
      </c>
      <c r="C1003" s="211">
        <v>5</v>
      </c>
      <c r="D1003" s="211">
        <f t="shared" si="35"/>
        <v>5</v>
      </c>
      <c r="E1003" s="211">
        <v>5</v>
      </c>
      <c r="F1003" s="211"/>
      <c r="G1003" s="211"/>
      <c r="H1003" s="211"/>
      <c r="I1003" s="211"/>
      <c r="J1003" s="211"/>
      <c r="K1003" s="211"/>
      <c r="L1003" s="211"/>
      <c r="M1003" s="211"/>
      <c r="N1003" s="213"/>
    </row>
    <row r="1004" ht="18" hidden="1" customHeight="1" spans="1:14">
      <c r="A1004" s="207"/>
      <c r="B1004" s="210" t="s">
        <v>1922</v>
      </c>
      <c r="C1004" s="211">
        <v>90</v>
      </c>
      <c r="D1004" s="211">
        <f t="shared" si="35"/>
        <v>90</v>
      </c>
      <c r="E1004" s="211"/>
      <c r="F1004" s="211">
        <v>90</v>
      </c>
      <c r="G1004" s="211"/>
      <c r="H1004" s="211"/>
      <c r="I1004" s="211"/>
      <c r="J1004" s="211"/>
      <c r="K1004" s="211"/>
      <c r="L1004" s="211"/>
      <c r="M1004" s="211"/>
      <c r="N1004" s="213"/>
    </row>
    <row r="1005" ht="18" hidden="1" customHeight="1" spans="1:14">
      <c r="A1005" s="207"/>
      <c r="B1005" s="210" t="s">
        <v>1923</v>
      </c>
      <c r="C1005" s="211">
        <v>7</v>
      </c>
      <c r="D1005" s="211">
        <f t="shared" si="35"/>
        <v>7</v>
      </c>
      <c r="E1005" s="211">
        <v>7</v>
      </c>
      <c r="F1005" s="211"/>
      <c r="G1005" s="211"/>
      <c r="H1005" s="211"/>
      <c r="I1005" s="211"/>
      <c r="J1005" s="211"/>
      <c r="K1005" s="211"/>
      <c r="L1005" s="211"/>
      <c r="M1005" s="211"/>
      <c r="N1005" s="213"/>
    </row>
    <row r="1006" ht="18" hidden="1" customHeight="1" spans="1:14">
      <c r="A1006" s="207"/>
      <c r="B1006" s="210" t="s">
        <v>1924</v>
      </c>
      <c r="C1006" s="211">
        <v>6</v>
      </c>
      <c r="D1006" s="211">
        <f t="shared" si="35"/>
        <v>6</v>
      </c>
      <c r="E1006" s="211"/>
      <c r="F1006" s="211">
        <v>6</v>
      </c>
      <c r="G1006" s="211"/>
      <c r="H1006" s="211"/>
      <c r="I1006" s="211"/>
      <c r="J1006" s="211"/>
      <c r="K1006" s="211"/>
      <c r="L1006" s="211"/>
      <c r="M1006" s="211"/>
      <c r="N1006" s="213"/>
    </row>
    <row r="1007" ht="18" hidden="1" customHeight="1" spans="1:14">
      <c r="A1007" s="207"/>
      <c r="B1007" s="210" t="s">
        <v>1925</v>
      </c>
      <c r="C1007" s="211">
        <v>60</v>
      </c>
      <c r="D1007" s="211">
        <f t="shared" si="35"/>
        <v>60</v>
      </c>
      <c r="E1007" s="211"/>
      <c r="F1007" s="211">
        <v>60</v>
      </c>
      <c r="G1007" s="211"/>
      <c r="H1007" s="211"/>
      <c r="I1007" s="211"/>
      <c r="J1007" s="211"/>
      <c r="K1007" s="211"/>
      <c r="L1007" s="211"/>
      <c r="M1007" s="211"/>
      <c r="N1007" s="213"/>
    </row>
    <row r="1008" ht="18" hidden="1" customHeight="1" spans="1:14">
      <c r="A1008" s="207"/>
      <c r="B1008" s="210" t="s">
        <v>1926</v>
      </c>
      <c r="C1008" s="211">
        <v>35</v>
      </c>
      <c r="D1008" s="211">
        <f t="shared" si="35"/>
        <v>35</v>
      </c>
      <c r="E1008" s="211">
        <v>35</v>
      </c>
      <c r="F1008" s="211"/>
      <c r="G1008" s="211"/>
      <c r="H1008" s="211"/>
      <c r="I1008" s="211"/>
      <c r="J1008" s="211"/>
      <c r="K1008" s="211"/>
      <c r="L1008" s="211"/>
      <c r="M1008" s="211"/>
      <c r="N1008" s="213"/>
    </row>
    <row r="1009" ht="18" hidden="1" customHeight="1" spans="1:14">
      <c r="A1009" s="207"/>
      <c r="B1009" s="210" t="s">
        <v>1797</v>
      </c>
      <c r="C1009" s="211">
        <v>34.64</v>
      </c>
      <c r="D1009" s="211">
        <f t="shared" si="35"/>
        <v>34.64</v>
      </c>
      <c r="E1009" s="211">
        <v>34.64</v>
      </c>
      <c r="F1009" s="211"/>
      <c r="G1009" s="211"/>
      <c r="H1009" s="211"/>
      <c r="I1009" s="211"/>
      <c r="J1009" s="211"/>
      <c r="K1009" s="211"/>
      <c r="L1009" s="211"/>
      <c r="M1009" s="211"/>
      <c r="N1009" s="213"/>
    </row>
    <row r="1010" ht="18" hidden="1" customHeight="1" spans="1:14">
      <c r="A1010" s="207"/>
      <c r="B1010" s="210" t="s">
        <v>1799</v>
      </c>
      <c r="C1010" s="211">
        <v>21</v>
      </c>
      <c r="D1010" s="211">
        <f t="shared" si="35"/>
        <v>21</v>
      </c>
      <c r="E1010" s="211">
        <v>21</v>
      </c>
      <c r="F1010" s="211"/>
      <c r="G1010" s="211"/>
      <c r="H1010" s="211"/>
      <c r="I1010" s="211"/>
      <c r="J1010" s="211"/>
      <c r="K1010" s="211"/>
      <c r="L1010" s="211"/>
      <c r="M1010" s="211"/>
      <c r="N1010" s="213"/>
    </row>
    <row r="1011" ht="18" hidden="1" customHeight="1" spans="1:14">
      <c r="A1011" s="207"/>
      <c r="B1011" s="210" t="s">
        <v>1822</v>
      </c>
      <c r="C1011" s="211">
        <v>6.3</v>
      </c>
      <c r="D1011" s="211">
        <f t="shared" si="35"/>
        <v>6.3</v>
      </c>
      <c r="E1011" s="211">
        <v>6.3</v>
      </c>
      <c r="F1011" s="211"/>
      <c r="G1011" s="211"/>
      <c r="H1011" s="211"/>
      <c r="I1011" s="211"/>
      <c r="J1011" s="211"/>
      <c r="K1011" s="211"/>
      <c r="L1011" s="211"/>
      <c r="M1011" s="211"/>
      <c r="N1011" s="213"/>
    </row>
    <row r="1012" ht="18" hidden="1" customHeight="1" spans="1:14">
      <c r="A1012" s="207"/>
      <c r="B1012" s="210" t="s">
        <v>1819</v>
      </c>
      <c r="C1012" s="211">
        <v>14</v>
      </c>
      <c r="D1012" s="211">
        <f t="shared" si="35"/>
        <v>14</v>
      </c>
      <c r="E1012" s="211">
        <v>14</v>
      </c>
      <c r="F1012" s="211"/>
      <c r="G1012" s="211"/>
      <c r="H1012" s="211"/>
      <c r="I1012" s="211"/>
      <c r="J1012" s="211"/>
      <c r="K1012" s="211"/>
      <c r="L1012" s="211"/>
      <c r="M1012" s="211"/>
      <c r="N1012" s="213"/>
    </row>
    <row r="1013" ht="18" hidden="1" customHeight="1" spans="1:14">
      <c r="A1013" s="207"/>
      <c r="B1013" s="210" t="s">
        <v>1927</v>
      </c>
      <c r="C1013" s="211">
        <v>400</v>
      </c>
      <c r="D1013" s="211">
        <f t="shared" si="35"/>
        <v>400</v>
      </c>
      <c r="E1013" s="211"/>
      <c r="F1013" s="211">
        <v>400</v>
      </c>
      <c r="G1013" s="211"/>
      <c r="H1013" s="211"/>
      <c r="I1013" s="211"/>
      <c r="J1013" s="211"/>
      <c r="K1013" s="211"/>
      <c r="L1013" s="211"/>
      <c r="M1013" s="211"/>
      <c r="N1013" s="213"/>
    </row>
    <row r="1014" ht="18" hidden="1" customHeight="1" spans="1:14">
      <c r="A1014" s="207"/>
      <c r="B1014" s="210" t="s">
        <v>1928</v>
      </c>
      <c r="C1014" s="211">
        <v>1.5</v>
      </c>
      <c r="D1014" s="211">
        <f t="shared" si="35"/>
        <v>1.5</v>
      </c>
      <c r="E1014" s="211">
        <v>1.5</v>
      </c>
      <c r="F1014" s="211"/>
      <c r="G1014" s="211"/>
      <c r="H1014" s="211"/>
      <c r="I1014" s="211"/>
      <c r="J1014" s="211"/>
      <c r="K1014" s="211"/>
      <c r="L1014" s="211"/>
      <c r="M1014" s="211"/>
      <c r="N1014" s="213"/>
    </row>
    <row r="1015" ht="18" hidden="1" customHeight="1" spans="1:14">
      <c r="A1015" s="207"/>
      <c r="B1015" s="210" t="s">
        <v>1929</v>
      </c>
      <c r="C1015" s="211">
        <v>18</v>
      </c>
      <c r="D1015" s="211">
        <f t="shared" si="35"/>
        <v>18</v>
      </c>
      <c r="E1015" s="211">
        <v>18</v>
      </c>
      <c r="F1015" s="211"/>
      <c r="G1015" s="211"/>
      <c r="H1015" s="211"/>
      <c r="I1015" s="211"/>
      <c r="J1015" s="211"/>
      <c r="K1015" s="211"/>
      <c r="L1015" s="211"/>
      <c r="M1015" s="211"/>
      <c r="N1015" s="213"/>
    </row>
    <row r="1016" ht="18" hidden="1" customHeight="1" spans="1:14">
      <c r="A1016" s="207"/>
      <c r="B1016" s="210" t="s">
        <v>1821</v>
      </c>
      <c r="C1016" s="211">
        <v>5</v>
      </c>
      <c r="D1016" s="211">
        <f t="shared" si="35"/>
        <v>5</v>
      </c>
      <c r="E1016" s="211">
        <v>5</v>
      </c>
      <c r="F1016" s="211"/>
      <c r="G1016" s="211"/>
      <c r="H1016" s="211"/>
      <c r="I1016" s="211"/>
      <c r="J1016" s="211"/>
      <c r="K1016" s="211"/>
      <c r="L1016" s="211"/>
      <c r="M1016" s="211"/>
      <c r="N1016" s="213"/>
    </row>
    <row r="1017" ht="18" hidden="1" customHeight="1" spans="1:14">
      <c r="A1017" s="216">
        <v>813002</v>
      </c>
      <c r="B1017" s="217" t="s">
        <v>906</v>
      </c>
      <c r="C1017" s="205">
        <v>64.9</v>
      </c>
      <c r="D1017" s="205">
        <f t="shared" si="35"/>
        <v>64.9</v>
      </c>
      <c r="E1017" s="205">
        <v>64.9</v>
      </c>
      <c r="F1017" s="205"/>
      <c r="G1017" s="205"/>
      <c r="H1017" s="205"/>
      <c r="I1017" s="205"/>
      <c r="J1017" s="205"/>
      <c r="K1017" s="205"/>
      <c r="L1017" s="205"/>
      <c r="M1017" s="205"/>
      <c r="N1017" s="213"/>
    </row>
    <row r="1018" ht="18" hidden="1" customHeight="1" spans="1:14">
      <c r="A1018" s="207"/>
      <c r="B1018" s="210" t="s">
        <v>1805</v>
      </c>
      <c r="C1018" s="211">
        <v>19</v>
      </c>
      <c r="D1018" s="211">
        <f t="shared" si="35"/>
        <v>19</v>
      </c>
      <c r="E1018" s="211">
        <v>19</v>
      </c>
      <c r="F1018" s="211"/>
      <c r="G1018" s="211"/>
      <c r="H1018" s="211"/>
      <c r="I1018" s="211"/>
      <c r="J1018" s="211"/>
      <c r="K1018" s="211"/>
      <c r="L1018" s="211"/>
      <c r="M1018" s="211"/>
      <c r="N1018" s="213"/>
    </row>
    <row r="1019" ht="18" hidden="1" customHeight="1" spans="1:14">
      <c r="A1019" s="207"/>
      <c r="B1019" s="210" t="s">
        <v>1930</v>
      </c>
      <c r="C1019" s="211">
        <v>45.9</v>
      </c>
      <c r="D1019" s="211">
        <f t="shared" si="35"/>
        <v>45.9</v>
      </c>
      <c r="E1019" s="211">
        <v>45.9</v>
      </c>
      <c r="F1019" s="211"/>
      <c r="G1019" s="211"/>
      <c r="H1019" s="211"/>
      <c r="I1019" s="211"/>
      <c r="J1019" s="211"/>
      <c r="K1019" s="211"/>
      <c r="L1019" s="211"/>
      <c r="M1019" s="211"/>
      <c r="N1019" s="213"/>
    </row>
    <row r="1020" ht="18" hidden="1" customHeight="1" spans="1:14">
      <c r="A1020" s="207"/>
      <c r="B1020" s="215" t="s">
        <v>917</v>
      </c>
      <c r="C1020" s="205">
        <f t="shared" ref="C1020:F1020" si="36">C1021+C1041+C1044</f>
        <v>1570.51</v>
      </c>
      <c r="D1020" s="205">
        <f t="shared" si="36"/>
        <v>1570.51</v>
      </c>
      <c r="E1020" s="205">
        <f t="shared" si="36"/>
        <v>1168.51</v>
      </c>
      <c r="F1020" s="205">
        <f t="shared" si="36"/>
        <v>402</v>
      </c>
      <c r="G1020" s="211"/>
      <c r="H1020" s="211"/>
      <c r="I1020" s="211"/>
      <c r="J1020" s="211"/>
      <c r="K1020" s="211"/>
      <c r="L1020" s="211"/>
      <c r="M1020" s="211"/>
      <c r="N1020" s="213"/>
    </row>
    <row r="1021" ht="18" hidden="1" customHeight="1" spans="1:14">
      <c r="A1021" s="216">
        <v>814001</v>
      </c>
      <c r="B1021" s="210" t="s">
        <v>1931</v>
      </c>
      <c r="C1021" s="205">
        <v>1530.41</v>
      </c>
      <c r="D1021" s="205">
        <f t="shared" ref="D1021:D1045" si="37">E1021+F1021</f>
        <v>1530.41</v>
      </c>
      <c r="E1021" s="205">
        <v>1128.41</v>
      </c>
      <c r="F1021" s="205">
        <v>402</v>
      </c>
      <c r="G1021" s="205"/>
      <c r="H1021" s="205"/>
      <c r="I1021" s="205"/>
      <c r="J1021" s="205"/>
      <c r="K1021" s="205"/>
      <c r="L1021" s="205"/>
      <c r="M1021" s="205"/>
      <c r="N1021" s="213"/>
    </row>
    <row r="1022" ht="18" hidden="1" customHeight="1" spans="1:14">
      <c r="A1022" s="207"/>
      <c r="B1022" s="210" t="s">
        <v>1799</v>
      </c>
      <c r="C1022" s="211">
        <v>12</v>
      </c>
      <c r="D1022" s="211">
        <f t="shared" si="37"/>
        <v>12</v>
      </c>
      <c r="E1022" s="211">
        <v>12</v>
      </c>
      <c r="F1022" s="211"/>
      <c r="G1022" s="211"/>
      <c r="H1022" s="211"/>
      <c r="I1022" s="211"/>
      <c r="J1022" s="211"/>
      <c r="K1022" s="211"/>
      <c r="L1022" s="211"/>
      <c r="M1022" s="211"/>
      <c r="N1022" s="213"/>
    </row>
    <row r="1023" ht="18" hidden="1" customHeight="1" spans="1:14">
      <c r="A1023" s="207"/>
      <c r="B1023" s="210" t="s">
        <v>1932</v>
      </c>
      <c r="C1023" s="211">
        <v>102</v>
      </c>
      <c r="D1023" s="211">
        <f t="shared" si="37"/>
        <v>102</v>
      </c>
      <c r="E1023" s="211"/>
      <c r="F1023" s="211">
        <v>102</v>
      </c>
      <c r="G1023" s="211"/>
      <c r="H1023" s="211"/>
      <c r="I1023" s="211"/>
      <c r="J1023" s="211"/>
      <c r="K1023" s="211"/>
      <c r="L1023" s="211"/>
      <c r="M1023" s="211"/>
      <c r="N1023" s="213"/>
    </row>
    <row r="1024" ht="18" hidden="1" customHeight="1" spans="1:14">
      <c r="A1024" s="207"/>
      <c r="B1024" s="210" t="s">
        <v>1797</v>
      </c>
      <c r="C1024" s="211">
        <v>18.6</v>
      </c>
      <c r="D1024" s="211">
        <f t="shared" si="37"/>
        <v>18.6</v>
      </c>
      <c r="E1024" s="211">
        <v>18.6</v>
      </c>
      <c r="F1024" s="211"/>
      <c r="G1024" s="211"/>
      <c r="H1024" s="211"/>
      <c r="I1024" s="211"/>
      <c r="J1024" s="211"/>
      <c r="K1024" s="211"/>
      <c r="L1024" s="211"/>
      <c r="M1024" s="211"/>
      <c r="N1024" s="213"/>
    </row>
    <row r="1025" ht="18" hidden="1" customHeight="1" spans="1:14">
      <c r="A1025" s="207"/>
      <c r="B1025" s="210" t="s">
        <v>1933</v>
      </c>
      <c r="C1025" s="211">
        <v>3.5</v>
      </c>
      <c r="D1025" s="211">
        <f t="shared" si="37"/>
        <v>3.5</v>
      </c>
      <c r="E1025" s="211">
        <v>3.5</v>
      </c>
      <c r="F1025" s="211"/>
      <c r="G1025" s="211"/>
      <c r="H1025" s="211"/>
      <c r="I1025" s="211"/>
      <c r="J1025" s="211"/>
      <c r="K1025" s="211"/>
      <c r="L1025" s="211"/>
      <c r="M1025" s="211"/>
      <c r="N1025" s="213"/>
    </row>
    <row r="1026" ht="18" hidden="1" customHeight="1" spans="1:14">
      <c r="A1026" s="207"/>
      <c r="B1026" s="210" t="s">
        <v>1934</v>
      </c>
      <c r="C1026" s="211">
        <v>100</v>
      </c>
      <c r="D1026" s="211">
        <f t="shared" si="37"/>
        <v>100</v>
      </c>
      <c r="E1026" s="211"/>
      <c r="F1026" s="211">
        <v>100</v>
      </c>
      <c r="G1026" s="211"/>
      <c r="H1026" s="211"/>
      <c r="I1026" s="211"/>
      <c r="J1026" s="211"/>
      <c r="K1026" s="211"/>
      <c r="L1026" s="211"/>
      <c r="M1026" s="211"/>
      <c r="N1026" s="213"/>
    </row>
    <row r="1027" ht="18" hidden="1" customHeight="1" spans="1:14">
      <c r="A1027" s="207"/>
      <c r="B1027" s="210" t="s">
        <v>1822</v>
      </c>
      <c r="C1027" s="211">
        <v>3.6</v>
      </c>
      <c r="D1027" s="211">
        <f t="shared" si="37"/>
        <v>3.6</v>
      </c>
      <c r="E1027" s="211">
        <v>3.6</v>
      </c>
      <c r="F1027" s="211"/>
      <c r="G1027" s="211"/>
      <c r="H1027" s="211"/>
      <c r="I1027" s="211"/>
      <c r="J1027" s="211"/>
      <c r="K1027" s="211"/>
      <c r="L1027" s="211"/>
      <c r="M1027" s="211"/>
      <c r="N1027" s="213"/>
    </row>
    <row r="1028" ht="18" hidden="1" customHeight="1" spans="1:14">
      <c r="A1028" s="207"/>
      <c r="B1028" s="210" t="s">
        <v>1935</v>
      </c>
      <c r="C1028" s="211">
        <v>50</v>
      </c>
      <c r="D1028" s="211">
        <f t="shared" si="37"/>
        <v>50</v>
      </c>
      <c r="E1028" s="211">
        <v>50</v>
      </c>
      <c r="F1028" s="211"/>
      <c r="G1028" s="211"/>
      <c r="H1028" s="211"/>
      <c r="I1028" s="211"/>
      <c r="J1028" s="211"/>
      <c r="K1028" s="211"/>
      <c r="L1028" s="211"/>
      <c r="M1028" s="211"/>
      <c r="N1028" s="213"/>
    </row>
    <row r="1029" ht="18" hidden="1" customHeight="1" spans="1:14">
      <c r="A1029" s="207"/>
      <c r="B1029" s="210" t="s">
        <v>1936</v>
      </c>
      <c r="C1029" s="211">
        <v>80</v>
      </c>
      <c r="D1029" s="211">
        <f t="shared" si="37"/>
        <v>80</v>
      </c>
      <c r="E1029" s="211"/>
      <c r="F1029" s="211">
        <v>80</v>
      </c>
      <c r="G1029" s="211"/>
      <c r="H1029" s="211"/>
      <c r="I1029" s="211"/>
      <c r="J1029" s="211"/>
      <c r="K1029" s="211"/>
      <c r="L1029" s="211"/>
      <c r="M1029" s="211"/>
      <c r="N1029" s="213"/>
    </row>
    <row r="1030" ht="18" hidden="1" customHeight="1" spans="1:14">
      <c r="A1030" s="207"/>
      <c r="B1030" s="210" t="s">
        <v>1937</v>
      </c>
      <c r="C1030" s="211">
        <v>100</v>
      </c>
      <c r="D1030" s="211">
        <f t="shared" si="37"/>
        <v>100</v>
      </c>
      <c r="E1030" s="211"/>
      <c r="F1030" s="211">
        <v>100</v>
      </c>
      <c r="G1030" s="211"/>
      <c r="H1030" s="211"/>
      <c r="I1030" s="211"/>
      <c r="J1030" s="211"/>
      <c r="K1030" s="211"/>
      <c r="L1030" s="211"/>
      <c r="M1030" s="211"/>
      <c r="N1030" s="213"/>
    </row>
    <row r="1031" ht="18" hidden="1" customHeight="1" spans="1:14">
      <c r="A1031" s="207"/>
      <c r="B1031" s="210" t="s">
        <v>1938</v>
      </c>
      <c r="C1031" s="211">
        <v>353</v>
      </c>
      <c r="D1031" s="211">
        <f t="shared" si="37"/>
        <v>353</v>
      </c>
      <c r="E1031" s="211">
        <v>353</v>
      </c>
      <c r="F1031" s="211"/>
      <c r="G1031" s="211"/>
      <c r="H1031" s="211"/>
      <c r="I1031" s="211"/>
      <c r="J1031" s="211"/>
      <c r="K1031" s="211"/>
      <c r="L1031" s="211"/>
      <c r="M1031" s="211"/>
      <c r="N1031" s="213"/>
    </row>
    <row r="1032" ht="18" hidden="1" customHeight="1" spans="1:14">
      <c r="A1032" s="207"/>
      <c r="B1032" s="210" t="s">
        <v>1939</v>
      </c>
      <c r="C1032" s="211">
        <v>20</v>
      </c>
      <c r="D1032" s="211">
        <f t="shared" si="37"/>
        <v>20</v>
      </c>
      <c r="E1032" s="211"/>
      <c r="F1032" s="211">
        <v>20</v>
      </c>
      <c r="G1032" s="211"/>
      <c r="H1032" s="211"/>
      <c r="I1032" s="211"/>
      <c r="J1032" s="211"/>
      <c r="K1032" s="211"/>
      <c r="L1032" s="211"/>
      <c r="M1032" s="211"/>
      <c r="N1032" s="213"/>
    </row>
    <row r="1033" ht="18" hidden="1" customHeight="1" spans="1:14">
      <c r="A1033" s="207"/>
      <c r="B1033" s="210" t="s">
        <v>1813</v>
      </c>
      <c r="C1033" s="211">
        <v>105</v>
      </c>
      <c r="D1033" s="211">
        <f t="shared" si="37"/>
        <v>105</v>
      </c>
      <c r="E1033" s="211">
        <v>105</v>
      </c>
      <c r="F1033" s="211"/>
      <c r="G1033" s="211"/>
      <c r="H1033" s="211"/>
      <c r="I1033" s="211"/>
      <c r="J1033" s="211"/>
      <c r="K1033" s="211"/>
      <c r="L1033" s="211"/>
      <c r="M1033" s="211"/>
      <c r="N1033" s="213"/>
    </row>
    <row r="1034" ht="18" hidden="1" customHeight="1" spans="1:14">
      <c r="A1034" s="207"/>
      <c r="B1034" s="210" t="s">
        <v>1940</v>
      </c>
      <c r="C1034" s="211">
        <v>85</v>
      </c>
      <c r="D1034" s="211">
        <f t="shared" si="37"/>
        <v>85</v>
      </c>
      <c r="E1034" s="211">
        <v>85</v>
      </c>
      <c r="F1034" s="211"/>
      <c r="G1034" s="211"/>
      <c r="H1034" s="211"/>
      <c r="I1034" s="211"/>
      <c r="J1034" s="211"/>
      <c r="K1034" s="211"/>
      <c r="L1034" s="211"/>
      <c r="M1034" s="211"/>
      <c r="N1034" s="213"/>
    </row>
    <row r="1035" ht="18" hidden="1" customHeight="1" spans="1:14">
      <c r="A1035" s="207"/>
      <c r="B1035" s="210" t="s">
        <v>1941</v>
      </c>
      <c r="C1035" s="211">
        <v>5</v>
      </c>
      <c r="D1035" s="211">
        <f t="shared" si="37"/>
        <v>5</v>
      </c>
      <c r="E1035" s="211">
        <v>5</v>
      </c>
      <c r="F1035" s="211"/>
      <c r="G1035" s="211"/>
      <c r="H1035" s="211"/>
      <c r="I1035" s="211"/>
      <c r="J1035" s="211"/>
      <c r="K1035" s="211"/>
      <c r="L1035" s="211"/>
      <c r="M1035" s="211"/>
      <c r="N1035" s="213"/>
    </row>
    <row r="1036" ht="18" hidden="1" customHeight="1" spans="1:14">
      <c r="A1036" s="207"/>
      <c r="B1036" s="210" t="s">
        <v>1819</v>
      </c>
      <c r="C1036" s="211">
        <v>10.5</v>
      </c>
      <c r="D1036" s="211">
        <f t="shared" si="37"/>
        <v>10.5</v>
      </c>
      <c r="E1036" s="211">
        <v>10.5</v>
      </c>
      <c r="F1036" s="211"/>
      <c r="G1036" s="211"/>
      <c r="H1036" s="211"/>
      <c r="I1036" s="211"/>
      <c r="J1036" s="211"/>
      <c r="K1036" s="211"/>
      <c r="L1036" s="211"/>
      <c r="M1036" s="211"/>
      <c r="N1036" s="213"/>
    </row>
    <row r="1037" ht="18" hidden="1" customHeight="1" spans="1:14">
      <c r="A1037" s="207"/>
      <c r="B1037" s="210" t="s">
        <v>1802</v>
      </c>
      <c r="C1037" s="211">
        <v>5</v>
      </c>
      <c r="D1037" s="211">
        <f t="shared" si="37"/>
        <v>5</v>
      </c>
      <c r="E1037" s="211">
        <v>5</v>
      </c>
      <c r="F1037" s="211"/>
      <c r="G1037" s="211"/>
      <c r="H1037" s="211"/>
      <c r="I1037" s="211"/>
      <c r="J1037" s="211"/>
      <c r="K1037" s="211"/>
      <c r="L1037" s="211"/>
      <c r="M1037" s="211"/>
      <c r="N1037" s="213"/>
    </row>
    <row r="1038" ht="18" hidden="1" customHeight="1" spans="1:14">
      <c r="A1038" s="207"/>
      <c r="B1038" s="210" t="s">
        <v>1821</v>
      </c>
      <c r="C1038" s="211">
        <v>5</v>
      </c>
      <c r="D1038" s="211">
        <f t="shared" si="37"/>
        <v>5</v>
      </c>
      <c r="E1038" s="211">
        <v>5</v>
      </c>
      <c r="F1038" s="211"/>
      <c r="G1038" s="211"/>
      <c r="H1038" s="211"/>
      <c r="I1038" s="211"/>
      <c r="J1038" s="211"/>
      <c r="K1038" s="211"/>
      <c r="L1038" s="211"/>
      <c r="M1038" s="211"/>
      <c r="N1038" s="213"/>
    </row>
    <row r="1039" ht="18" hidden="1" customHeight="1" spans="1:14">
      <c r="A1039" s="207"/>
      <c r="B1039" s="210" t="s">
        <v>1801</v>
      </c>
      <c r="C1039" s="211">
        <v>444.35</v>
      </c>
      <c r="D1039" s="211">
        <f t="shared" si="37"/>
        <v>444.35</v>
      </c>
      <c r="E1039" s="211">
        <v>444.35</v>
      </c>
      <c r="F1039" s="211"/>
      <c r="G1039" s="211"/>
      <c r="H1039" s="211"/>
      <c r="I1039" s="211"/>
      <c r="J1039" s="211"/>
      <c r="K1039" s="211"/>
      <c r="L1039" s="211"/>
      <c r="M1039" s="211"/>
      <c r="N1039" s="213"/>
    </row>
    <row r="1040" ht="18" hidden="1" customHeight="1" spans="1:14">
      <c r="A1040" s="207"/>
      <c r="B1040" s="210" t="s">
        <v>1820</v>
      </c>
      <c r="C1040" s="211">
        <v>27.86</v>
      </c>
      <c r="D1040" s="211">
        <f t="shared" si="37"/>
        <v>27.86</v>
      </c>
      <c r="E1040" s="211">
        <v>27.86</v>
      </c>
      <c r="F1040" s="211"/>
      <c r="G1040" s="211"/>
      <c r="H1040" s="211"/>
      <c r="I1040" s="211"/>
      <c r="J1040" s="211"/>
      <c r="K1040" s="211"/>
      <c r="L1040" s="211"/>
      <c r="M1040" s="211"/>
      <c r="N1040" s="213"/>
    </row>
    <row r="1041" ht="18" hidden="1" customHeight="1" spans="1:14">
      <c r="A1041" s="216">
        <v>814002</v>
      </c>
      <c r="B1041" s="217" t="s">
        <v>921</v>
      </c>
      <c r="C1041" s="205">
        <v>33.1</v>
      </c>
      <c r="D1041" s="205">
        <f t="shared" si="37"/>
        <v>33.1</v>
      </c>
      <c r="E1041" s="205">
        <v>33.1</v>
      </c>
      <c r="F1041" s="205"/>
      <c r="G1041" s="205"/>
      <c r="H1041" s="205"/>
      <c r="I1041" s="205"/>
      <c r="J1041" s="205"/>
      <c r="K1041" s="205"/>
      <c r="L1041" s="205"/>
      <c r="M1041" s="205"/>
      <c r="N1041" s="213"/>
    </row>
    <row r="1042" ht="18" hidden="1" customHeight="1" spans="1:14">
      <c r="A1042" s="207"/>
      <c r="B1042" s="210" t="s">
        <v>1806</v>
      </c>
      <c r="C1042" s="211">
        <v>26.1</v>
      </c>
      <c r="D1042" s="211">
        <f t="shared" si="37"/>
        <v>26.1</v>
      </c>
      <c r="E1042" s="211">
        <v>26.1</v>
      </c>
      <c r="F1042" s="211"/>
      <c r="G1042" s="211"/>
      <c r="H1042" s="211"/>
      <c r="I1042" s="211"/>
      <c r="J1042" s="211"/>
      <c r="K1042" s="211"/>
      <c r="L1042" s="211"/>
      <c r="M1042" s="211"/>
      <c r="N1042" s="213"/>
    </row>
    <row r="1043" ht="18" hidden="1" customHeight="1" spans="1:14">
      <c r="A1043" s="207"/>
      <c r="B1043" s="210" t="s">
        <v>1805</v>
      </c>
      <c r="C1043" s="211">
        <v>7</v>
      </c>
      <c r="D1043" s="211">
        <f t="shared" si="37"/>
        <v>7</v>
      </c>
      <c r="E1043" s="211">
        <v>7</v>
      </c>
      <c r="F1043" s="211"/>
      <c r="G1043" s="211"/>
      <c r="H1043" s="211"/>
      <c r="I1043" s="211"/>
      <c r="J1043" s="211"/>
      <c r="K1043" s="211"/>
      <c r="L1043" s="211"/>
      <c r="M1043" s="211"/>
      <c r="N1043" s="213"/>
    </row>
    <row r="1044" ht="18" hidden="1" customHeight="1" spans="1:14">
      <c r="A1044" s="216">
        <v>814004</v>
      </c>
      <c r="B1044" s="217" t="s">
        <v>925</v>
      </c>
      <c r="C1044" s="205">
        <v>7</v>
      </c>
      <c r="D1044" s="205">
        <f t="shared" si="37"/>
        <v>7</v>
      </c>
      <c r="E1044" s="205">
        <v>7</v>
      </c>
      <c r="F1044" s="205"/>
      <c r="G1044" s="205"/>
      <c r="H1044" s="205"/>
      <c r="I1044" s="205"/>
      <c r="J1044" s="205"/>
      <c r="K1044" s="205"/>
      <c r="L1044" s="205"/>
      <c r="M1044" s="205"/>
      <c r="N1044" s="213"/>
    </row>
    <row r="1045" ht="18" hidden="1" customHeight="1" spans="1:14">
      <c r="A1045" s="207"/>
      <c r="B1045" s="210" t="s">
        <v>1808</v>
      </c>
      <c r="C1045" s="211">
        <v>7</v>
      </c>
      <c r="D1045" s="211">
        <f t="shared" si="37"/>
        <v>7</v>
      </c>
      <c r="E1045" s="211">
        <v>7</v>
      </c>
      <c r="F1045" s="211"/>
      <c r="G1045" s="211"/>
      <c r="H1045" s="211"/>
      <c r="I1045" s="211"/>
      <c r="J1045" s="211"/>
      <c r="K1045" s="211"/>
      <c r="L1045" s="211"/>
      <c r="M1045" s="211"/>
      <c r="N1045" s="213"/>
    </row>
    <row r="1046" ht="18" hidden="1" customHeight="1" spans="1:14">
      <c r="A1046" s="207"/>
      <c r="B1046" s="215" t="s">
        <v>928</v>
      </c>
      <c r="C1046" s="205">
        <f t="shared" ref="C1046:F1046" si="38">C1047+C1066+C1069</f>
        <v>1792.25</v>
      </c>
      <c r="D1046" s="205">
        <f t="shared" si="38"/>
        <v>1792.25</v>
      </c>
      <c r="E1046" s="205">
        <f t="shared" si="38"/>
        <v>1392.25</v>
      </c>
      <c r="F1046" s="205">
        <f t="shared" si="38"/>
        <v>400</v>
      </c>
      <c r="G1046" s="211"/>
      <c r="H1046" s="211"/>
      <c r="I1046" s="211"/>
      <c r="J1046" s="211"/>
      <c r="K1046" s="211"/>
      <c r="L1046" s="211"/>
      <c r="M1046" s="211"/>
      <c r="N1046" s="213"/>
    </row>
    <row r="1047" ht="18" hidden="1" customHeight="1" spans="1:14">
      <c r="A1047" s="216">
        <v>815001</v>
      </c>
      <c r="B1047" s="210" t="s">
        <v>1942</v>
      </c>
      <c r="C1047" s="205">
        <v>1761.25</v>
      </c>
      <c r="D1047" s="205">
        <f t="shared" ref="D1047:D1070" si="39">E1047+F1047</f>
        <v>1761.25</v>
      </c>
      <c r="E1047" s="205">
        <v>1361.25</v>
      </c>
      <c r="F1047" s="205">
        <v>400</v>
      </c>
      <c r="G1047" s="205"/>
      <c r="H1047" s="205"/>
      <c r="I1047" s="205"/>
      <c r="J1047" s="205"/>
      <c r="K1047" s="205"/>
      <c r="L1047" s="205"/>
      <c r="M1047" s="205"/>
      <c r="N1047" s="213"/>
    </row>
    <row r="1048" ht="18" hidden="1" customHeight="1" spans="1:14">
      <c r="A1048" s="207"/>
      <c r="B1048" s="210" t="s">
        <v>1943</v>
      </c>
      <c r="C1048" s="211">
        <v>18</v>
      </c>
      <c r="D1048" s="211">
        <f t="shared" si="39"/>
        <v>18</v>
      </c>
      <c r="E1048" s="211">
        <v>18</v>
      </c>
      <c r="F1048" s="211"/>
      <c r="G1048" s="211"/>
      <c r="H1048" s="211"/>
      <c r="I1048" s="211"/>
      <c r="J1048" s="211"/>
      <c r="K1048" s="211"/>
      <c r="L1048" s="211"/>
      <c r="M1048" s="211"/>
      <c r="N1048" s="213"/>
    </row>
    <row r="1049" ht="18" hidden="1" customHeight="1" spans="1:14">
      <c r="A1049" s="207"/>
      <c r="B1049" s="210" t="s">
        <v>1799</v>
      </c>
      <c r="C1049" s="211">
        <v>12.6</v>
      </c>
      <c r="D1049" s="211">
        <f t="shared" si="39"/>
        <v>12.6</v>
      </c>
      <c r="E1049" s="211">
        <v>12.6</v>
      </c>
      <c r="F1049" s="211"/>
      <c r="G1049" s="211"/>
      <c r="H1049" s="211"/>
      <c r="I1049" s="211"/>
      <c r="J1049" s="211"/>
      <c r="K1049" s="211"/>
      <c r="L1049" s="211"/>
      <c r="M1049" s="211"/>
      <c r="N1049" s="213"/>
    </row>
    <row r="1050" ht="18" hidden="1" customHeight="1" spans="1:14">
      <c r="A1050" s="207"/>
      <c r="B1050" s="210" t="s">
        <v>1944</v>
      </c>
      <c r="C1050" s="211">
        <v>26</v>
      </c>
      <c r="D1050" s="211">
        <f t="shared" si="39"/>
        <v>26</v>
      </c>
      <c r="E1050" s="211"/>
      <c r="F1050" s="211">
        <v>26</v>
      </c>
      <c r="G1050" s="211"/>
      <c r="H1050" s="211"/>
      <c r="I1050" s="211"/>
      <c r="J1050" s="211"/>
      <c r="K1050" s="211"/>
      <c r="L1050" s="211"/>
      <c r="M1050" s="211"/>
      <c r="N1050" s="213"/>
    </row>
    <row r="1051" ht="18" hidden="1" customHeight="1" spans="1:14">
      <c r="A1051" s="207"/>
      <c r="B1051" s="210" t="s">
        <v>1945</v>
      </c>
      <c r="C1051" s="211">
        <v>43.2</v>
      </c>
      <c r="D1051" s="211">
        <f t="shared" si="39"/>
        <v>43.2</v>
      </c>
      <c r="E1051" s="211">
        <v>43.2</v>
      </c>
      <c r="F1051" s="211"/>
      <c r="G1051" s="211"/>
      <c r="H1051" s="211"/>
      <c r="I1051" s="211"/>
      <c r="J1051" s="211"/>
      <c r="K1051" s="211"/>
      <c r="L1051" s="211"/>
      <c r="M1051" s="211"/>
      <c r="N1051" s="213"/>
    </row>
    <row r="1052" ht="18" hidden="1" customHeight="1" spans="1:14">
      <c r="A1052" s="207"/>
      <c r="B1052" s="210" t="s">
        <v>1946</v>
      </c>
      <c r="C1052" s="211">
        <v>58.6</v>
      </c>
      <c r="D1052" s="211">
        <f t="shared" si="39"/>
        <v>58.6</v>
      </c>
      <c r="E1052" s="211">
        <v>58.6</v>
      </c>
      <c r="F1052" s="211"/>
      <c r="G1052" s="211"/>
      <c r="H1052" s="211"/>
      <c r="I1052" s="211"/>
      <c r="J1052" s="211"/>
      <c r="K1052" s="211"/>
      <c r="L1052" s="211"/>
      <c r="M1052" s="211"/>
      <c r="N1052" s="213"/>
    </row>
    <row r="1053" ht="18" hidden="1" customHeight="1" spans="1:14">
      <c r="A1053" s="207"/>
      <c r="B1053" s="210" t="s">
        <v>1820</v>
      </c>
      <c r="C1053" s="211">
        <v>31.03</v>
      </c>
      <c r="D1053" s="211">
        <f t="shared" si="39"/>
        <v>31.03</v>
      </c>
      <c r="E1053" s="211">
        <v>31.03</v>
      </c>
      <c r="F1053" s="211"/>
      <c r="G1053" s="211"/>
      <c r="H1053" s="211"/>
      <c r="I1053" s="211"/>
      <c r="J1053" s="211"/>
      <c r="K1053" s="211"/>
      <c r="L1053" s="211"/>
      <c r="M1053" s="211"/>
      <c r="N1053" s="213"/>
    </row>
    <row r="1054" ht="18" hidden="1" customHeight="1" spans="1:14">
      <c r="A1054" s="207"/>
      <c r="B1054" s="210" t="s">
        <v>1822</v>
      </c>
      <c r="C1054" s="211">
        <v>3.78</v>
      </c>
      <c r="D1054" s="211">
        <f t="shared" si="39"/>
        <v>3.78</v>
      </c>
      <c r="E1054" s="211">
        <v>3.78</v>
      </c>
      <c r="F1054" s="211"/>
      <c r="G1054" s="211"/>
      <c r="H1054" s="211"/>
      <c r="I1054" s="211"/>
      <c r="J1054" s="211"/>
      <c r="K1054" s="211"/>
      <c r="L1054" s="211"/>
      <c r="M1054" s="211"/>
      <c r="N1054" s="213"/>
    </row>
    <row r="1055" ht="18" hidden="1" customHeight="1" spans="1:14">
      <c r="A1055" s="207"/>
      <c r="B1055" s="210" t="s">
        <v>1819</v>
      </c>
      <c r="C1055" s="211">
        <v>7</v>
      </c>
      <c r="D1055" s="211">
        <f t="shared" si="39"/>
        <v>7</v>
      </c>
      <c r="E1055" s="211">
        <v>7</v>
      </c>
      <c r="F1055" s="211"/>
      <c r="G1055" s="211"/>
      <c r="H1055" s="211"/>
      <c r="I1055" s="211"/>
      <c r="J1055" s="211"/>
      <c r="K1055" s="211"/>
      <c r="L1055" s="211"/>
      <c r="M1055" s="211"/>
      <c r="N1055" s="213"/>
    </row>
    <row r="1056" ht="18" hidden="1" customHeight="1" spans="1:14">
      <c r="A1056" s="207"/>
      <c r="B1056" s="210" t="s">
        <v>1801</v>
      </c>
      <c r="C1056" s="211">
        <v>453.89</v>
      </c>
      <c r="D1056" s="211">
        <f t="shared" si="39"/>
        <v>453.89</v>
      </c>
      <c r="E1056" s="211">
        <v>453.89</v>
      </c>
      <c r="F1056" s="211"/>
      <c r="G1056" s="211"/>
      <c r="H1056" s="211"/>
      <c r="I1056" s="211"/>
      <c r="J1056" s="211"/>
      <c r="K1056" s="211"/>
      <c r="L1056" s="211"/>
      <c r="M1056" s="211"/>
      <c r="N1056" s="213"/>
    </row>
    <row r="1057" ht="18" hidden="1" customHeight="1" spans="1:14">
      <c r="A1057" s="207"/>
      <c r="B1057" s="210" t="s">
        <v>1824</v>
      </c>
      <c r="C1057" s="211">
        <v>3.5</v>
      </c>
      <c r="D1057" s="211">
        <f t="shared" si="39"/>
        <v>3.5</v>
      </c>
      <c r="E1057" s="211">
        <v>3.5</v>
      </c>
      <c r="F1057" s="211"/>
      <c r="G1057" s="211"/>
      <c r="H1057" s="211"/>
      <c r="I1057" s="211"/>
      <c r="J1057" s="211"/>
      <c r="K1057" s="211"/>
      <c r="L1057" s="211"/>
      <c r="M1057" s="211"/>
      <c r="N1057" s="213"/>
    </row>
    <row r="1058" ht="18" hidden="1" customHeight="1" spans="1:14">
      <c r="A1058" s="207"/>
      <c r="B1058" s="210" t="s">
        <v>1947</v>
      </c>
      <c r="C1058" s="211">
        <v>24</v>
      </c>
      <c r="D1058" s="211">
        <f t="shared" si="39"/>
        <v>24</v>
      </c>
      <c r="E1058" s="211">
        <v>24</v>
      </c>
      <c r="F1058" s="211"/>
      <c r="G1058" s="211"/>
      <c r="H1058" s="211"/>
      <c r="I1058" s="211"/>
      <c r="J1058" s="211"/>
      <c r="K1058" s="211"/>
      <c r="L1058" s="211"/>
      <c r="M1058" s="211"/>
      <c r="N1058" s="213"/>
    </row>
    <row r="1059" ht="18" hidden="1" customHeight="1" spans="1:14">
      <c r="A1059" s="207"/>
      <c r="B1059" s="210" t="s">
        <v>1948</v>
      </c>
      <c r="C1059" s="211">
        <v>344.32</v>
      </c>
      <c r="D1059" s="211">
        <f t="shared" si="39"/>
        <v>344.32</v>
      </c>
      <c r="E1059" s="211">
        <v>334.32</v>
      </c>
      <c r="F1059" s="211">
        <v>10</v>
      </c>
      <c r="G1059" s="211"/>
      <c r="H1059" s="211"/>
      <c r="I1059" s="211"/>
      <c r="J1059" s="211"/>
      <c r="K1059" s="211"/>
      <c r="L1059" s="211"/>
      <c r="M1059" s="211"/>
      <c r="N1059" s="213"/>
    </row>
    <row r="1060" ht="18" hidden="1" customHeight="1" spans="1:14">
      <c r="A1060" s="207"/>
      <c r="B1060" s="210" t="s">
        <v>1821</v>
      </c>
      <c r="C1060" s="211">
        <v>5</v>
      </c>
      <c r="D1060" s="211">
        <f t="shared" si="39"/>
        <v>5</v>
      </c>
      <c r="E1060" s="211">
        <v>5</v>
      </c>
      <c r="F1060" s="211"/>
      <c r="G1060" s="211"/>
      <c r="H1060" s="211"/>
      <c r="I1060" s="211"/>
      <c r="J1060" s="211"/>
      <c r="K1060" s="211"/>
      <c r="L1060" s="211"/>
      <c r="M1060" s="211"/>
      <c r="N1060" s="213"/>
    </row>
    <row r="1061" ht="18" hidden="1" customHeight="1" spans="1:14">
      <c r="A1061" s="207"/>
      <c r="B1061" s="210" t="s">
        <v>1797</v>
      </c>
      <c r="C1061" s="211">
        <v>19.45</v>
      </c>
      <c r="D1061" s="211">
        <f t="shared" si="39"/>
        <v>19.45</v>
      </c>
      <c r="E1061" s="211">
        <v>19.45</v>
      </c>
      <c r="F1061" s="211"/>
      <c r="G1061" s="211"/>
      <c r="H1061" s="211"/>
      <c r="I1061" s="211"/>
      <c r="J1061" s="211"/>
      <c r="K1061" s="211"/>
      <c r="L1061" s="211"/>
      <c r="M1061" s="211"/>
      <c r="N1061" s="213"/>
    </row>
    <row r="1062" ht="18" hidden="1" customHeight="1" spans="1:14">
      <c r="A1062" s="207"/>
      <c r="B1062" s="210" t="s">
        <v>1949</v>
      </c>
      <c r="C1062" s="211">
        <v>320.03</v>
      </c>
      <c r="D1062" s="211">
        <f t="shared" si="39"/>
        <v>320.03</v>
      </c>
      <c r="E1062" s="211">
        <v>320.03</v>
      </c>
      <c r="F1062" s="211"/>
      <c r="G1062" s="211"/>
      <c r="H1062" s="211"/>
      <c r="I1062" s="211"/>
      <c r="J1062" s="211"/>
      <c r="K1062" s="211"/>
      <c r="L1062" s="211"/>
      <c r="M1062" s="211"/>
      <c r="N1062" s="213"/>
    </row>
    <row r="1063" ht="18" hidden="1" customHeight="1" spans="1:14">
      <c r="A1063" s="207"/>
      <c r="B1063" s="210" t="s">
        <v>1950</v>
      </c>
      <c r="C1063" s="211">
        <v>350</v>
      </c>
      <c r="D1063" s="211">
        <f t="shared" si="39"/>
        <v>350</v>
      </c>
      <c r="E1063" s="211"/>
      <c r="F1063" s="211">
        <v>350</v>
      </c>
      <c r="G1063" s="211"/>
      <c r="H1063" s="211"/>
      <c r="I1063" s="211"/>
      <c r="J1063" s="211"/>
      <c r="K1063" s="211"/>
      <c r="L1063" s="211"/>
      <c r="M1063" s="211"/>
      <c r="N1063" s="213"/>
    </row>
    <row r="1064" ht="18" hidden="1" customHeight="1" spans="1:14">
      <c r="A1064" s="207"/>
      <c r="B1064" s="210" t="s">
        <v>1802</v>
      </c>
      <c r="C1064" s="211">
        <v>5</v>
      </c>
      <c r="D1064" s="211">
        <f t="shared" si="39"/>
        <v>5</v>
      </c>
      <c r="E1064" s="211">
        <v>5</v>
      </c>
      <c r="F1064" s="211"/>
      <c r="G1064" s="211"/>
      <c r="H1064" s="211"/>
      <c r="I1064" s="211"/>
      <c r="J1064" s="211"/>
      <c r="K1064" s="211"/>
      <c r="L1064" s="211"/>
      <c r="M1064" s="211"/>
      <c r="N1064" s="213"/>
    </row>
    <row r="1065" ht="18" hidden="1" customHeight="1" spans="1:14">
      <c r="A1065" s="207"/>
      <c r="B1065" s="210" t="s">
        <v>1951</v>
      </c>
      <c r="C1065" s="211">
        <v>35.85</v>
      </c>
      <c r="D1065" s="211">
        <f t="shared" si="39"/>
        <v>35.85</v>
      </c>
      <c r="E1065" s="211">
        <v>21.85</v>
      </c>
      <c r="F1065" s="211">
        <v>14</v>
      </c>
      <c r="G1065" s="211"/>
      <c r="H1065" s="211"/>
      <c r="I1065" s="211"/>
      <c r="J1065" s="211"/>
      <c r="K1065" s="211"/>
      <c r="L1065" s="211"/>
      <c r="M1065" s="211"/>
      <c r="N1065" s="213"/>
    </row>
    <row r="1066" ht="18" hidden="1" customHeight="1" spans="1:14">
      <c r="A1066" s="216">
        <v>815002</v>
      </c>
      <c r="B1066" s="217" t="s">
        <v>932</v>
      </c>
      <c r="C1066" s="205">
        <v>24</v>
      </c>
      <c r="D1066" s="205">
        <f t="shared" si="39"/>
        <v>24</v>
      </c>
      <c r="E1066" s="205">
        <v>24</v>
      </c>
      <c r="F1066" s="205"/>
      <c r="G1066" s="205"/>
      <c r="H1066" s="205"/>
      <c r="I1066" s="205"/>
      <c r="J1066" s="205"/>
      <c r="K1066" s="205"/>
      <c r="L1066" s="205"/>
      <c r="M1066" s="205"/>
      <c r="N1066" s="213"/>
    </row>
    <row r="1067" ht="18" hidden="1" customHeight="1" spans="1:14">
      <c r="A1067" s="207"/>
      <c r="B1067" s="210" t="s">
        <v>1805</v>
      </c>
      <c r="C1067" s="211">
        <v>8</v>
      </c>
      <c r="D1067" s="211">
        <f t="shared" si="39"/>
        <v>8</v>
      </c>
      <c r="E1067" s="211">
        <v>8</v>
      </c>
      <c r="F1067" s="211"/>
      <c r="G1067" s="211"/>
      <c r="H1067" s="211"/>
      <c r="I1067" s="211"/>
      <c r="J1067" s="211"/>
      <c r="K1067" s="211"/>
      <c r="L1067" s="211"/>
      <c r="M1067" s="211"/>
      <c r="N1067" s="213"/>
    </row>
    <row r="1068" ht="18" hidden="1" customHeight="1" spans="1:14">
      <c r="A1068" s="207"/>
      <c r="B1068" s="210" t="s">
        <v>1806</v>
      </c>
      <c r="C1068" s="211">
        <v>16</v>
      </c>
      <c r="D1068" s="211">
        <f t="shared" si="39"/>
        <v>16</v>
      </c>
      <c r="E1068" s="211">
        <v>16</v>
      </c>
      <c r="F1068" s="211"/>
      <c r="G1068" s="211"/>
      <c r="H1068" s="211"/>
      <c r="I1068" s="211"/>
      <c r="J1068" s="211"/>
      <c r="K1068" s="211"/>
      <c r="L1068" s="211"/>
      <c r="M1068" s="211"/>
      <c r="N1068" s="213"/>
    </row>
    <row r="1069" ht="18" hidden="1" customHeight="1" spans="1:14">
      <c r="A1069" s="216">
        <v>815004</v>
      </c>
      <c r="B1069" s="217" t="s">
        <v>936</v>
      </c>
      <c r="C1069" s="205">
        <v>7</v>
      </c>
      <c r="D1069" s="205">
        <f t="shared" si="39"/>
        <v>7</v>
      </c>
      <c r="E1069" s="205">
        <v>7</v>
      </c>
      <c r="F1069" s="205"/>
      <c r="G1069" s="205"/>
      <c r="H1069" s="205"/>
      <c r="I1069" s="205"/>
      <c r="J1069" s="205"/>
      <c r="K1069" s="205"/>
      <c r="L1069" s="205"/>
      <c r="M1069" s="205"/>
      <c r="N1069" s="213"/>
    </row>
    <row r="1070" ht="18" hidden="1" customHeight="1" spans="1:14">
      <c r="A1070" s="207"/>
      <c r="B1070" s="210" t="s">
        <v>1808</v>
      </c>
      <c r="C1070" s="211">
        <v>7</v>
      </c>
      <c r="D1070" s="211">
        <f t="shared" si="39"/>
        <v>7</v>
      </c>
      <c r="E1070" s="211">
        <v>7</v>
      </c>
      <c r="F1070" s="211"/>
      <c r="G1070" s="211"/>
      <c r="H1070" s="211"/>
      <c r="I1070" s="211"/>
      <c r="J1070" s="211"/>
      <c r="K1070" s="211"/>
      <c r="L1070" s="211"/>
      <c r="M1070" s="211"/>
      <c r="N1070" s="213"/>
    </row>
    <row r="1071" ht="18" hidden="1" customHeight="1" spans="1:14">
      <c r="A1071" s="207"/>
      <c r="B1071" s="215" t="s">
        <v>939</v>
      </c>
      <c r="C1071" s="205">
        <f t="shared" ref="C1071:F1071" si="40">C1072+C1097+C1100</f>
        <v>5430.18</v>
      </c>
      <c r="D1071" s="205">
        <f t="shared" si="40"/>
        <v>5430.18</v>
      </c>
      <c r="E1071" s="205">
        <f t="shared" si="40"/>
        <v>3944.18</v>
      </c>
      <c r="F1071" s="205">
        <f t="shared" si="40"/>
        <v>1486</v>
      </c>
      <c r="G1071" s="211"/>
      <c r="H1071" s="211"/>
      <c r="I1071" s="211"/>
      <c r="J1071" s="211"/>
      <c r="K1071" s="211"/>
      <c r="L1071" s="211"/>
      <c r="M1071" s="211"/>
      <c r="N1071" s="213"/>
    </row>
    <row r="1072" ht="18" hidden="1" customHeight="1" spans="1:14">
      <c r="A1072" s="216">
        <v>816001</v>
      </c>
      <c r="B1072" s="210" t="s">
        <v>1952</v>
      </c>
      <c r="C1072" s="205">
        <v>5081.58</v>
      </c>
      <c r="D1072" s="205">
        <f t="shared" ref="D1072:D1101" si="41">E1072+F1072</f>
        <v>5081.58</v>
      </c>
      <c r="E1072" s="205">
        <v>3595.58</v>
      </c>
      <c r="F1072" s="205">
        <v>1486</v>
      </c>
      <c r="G1072" s="205"/>
      <c r="H1072" s="205"/>
      <c r="I1072" s="205"/>
      <c r="J1072" s="205"/>
      <c r="K1072" s="205"/>
      <c r="L1072" s="205"/>
      <c r="M1072" s="205"/>
      <c r="N1072" s="213"/>
    </row>
    <row r="1073" ht="18" hidden="1" customHeight="1" spans="1:14">
      <c r="A1073" s="207"/>
      <c r="B1073" s="210" t="s">
        <v>1953</v>
      </c>
      <c r="C1073" s="211">
        <v>580</v>
      </c>
      <c r="D1073" s="211">
        <f t="shared" si="41"/>
        <v>580</v>
      </c>
      <c r="E1073" s="211"/>
      <c r="F1073" s="211">
        <v>580</v>
      </c>
      <c r="G1073" s="211"/>
      <c r="H1073" s="211"/>
      <c r="I1073" s="211"/>
      <c r="J1073" s="211"/>
      <c r="K1073" s="211"/>
      <c r="L1073" s="211"/>
      <c r="M1073" s="211"/>
      <c r="N1073" s="213"/>
    </row>
    <row r="1074" ht="18" hidden="1" customHeight="1" spans="1:14">
      <c r="A1074" s="207"/>
      <c r="B1074" s="210" t="s">
        <v>1819</v>
      </c>
      <c r="C1074" s="211">
        <v>10.5</v>
      </c>
      <c r="D1074" s="211">
        <f t="shared" si="41"/>
        <v>10.5</v>
      </c>
      <c r="E1074" s="211">
        <v>10.5</v>
      </c>
      <c r="F1074" s="211"/>
      <c r="G1074" s="211"/>
      <c r="H1074" s="211"/>
      <c r="I1074" s="211"/>
      <c r="J1074" s="211"/>
      <c r="K1074" s="211"/>
      <c r="L1074" s="211"/>
      <c r="M1074" s="211"/>
      <c r="N1074" s="213"/>
    </row>
    <row r="1075" ht="18" hidden="1" customHeight="1" spans="1:14">
      <c r="A1075" s="207"/>
      <c r="B1075" s="210" t="s">
        <v>1954</v>
      </c>
      <c r="C1075" s="211">
        <v>192.28</v>
      </c>
      <c r="D1075" s="211">
        <f t="shared" si="41"/>
        <v>192.28</v>
      </c>
      <c r="E1075" s="211">
        <v>192.28</v>
      </c>
      <c r="F1075" s="211"/>
      <c r="G1075" s="211"/>
      <c r="H1075" s="211"/>
      <c r="I1075" s="211"/>
      <c r="J1075" s="211"/>
      <c r="K1075" s="211"/>
      <c r="L1075" s="211"/>
      <c r="M1075" s="211"/>
      <c r="N1075" s="213"/>
    </row>
    <row r="1076" ht="18" hidden="1" customHeight="1" spans="1:14">
      <c r="A1076" s="207"/>
      <c r="B1076" s="210" t="s">
        <v>1801</v>
      </c>
      <c r="C1076" s="211">
        <v>553.85</v>
      </c>
      <c r="D1076" s="211">
        <f t="shared" si="41"/>
        <v>553.85</v>
      </c>
      <c r="E1076" s="211">
        <v>553.85</v>
      </c>
      <c r="F1076" s="211"/>
      <c r="G1076" s="211"/>
      <c r="H1076" s="211"/>
      <c r="I1076" s="211"/>
      <c r="J1076" s="211"/>
      <c r="K1076" s="211"/>
      <c r="L1076" s="211"/>
      <c r="M1076" s="211"/>
      <c r="N1076" s="213"/>
    </row>
    <row r="1077" ht="18" hidden="1" customHeight="1" spans="1:14">
      <c r="A1077" s="207"/>
      <c r="B1077" s="210" t="s">
        <v>1848</v>
      </c>
      <c r="C1077" s="211">
        <v>8</v>
      </c>
      <c r="D1077" s="211">
        <f t="shared" si="41"/>
        <v>8</v>
      </c>
      <c r="E1077" s="211">
        <v>8</v>
      </c>
      <c r="F1077" s="211"/>
      <c r="G1077" s="211"/>
      <c r="H1077" s="211"/>
      <c r="I1077" s="211"/>
      <c r="J1077" s="211"/>
      <c r="K1077" s="211"/>
      <c r="L1077" s="211"/>
      <c r="M1077" s="211"/>
      <c r="N1077" s="213"/>
    </row>
    <row r="1078" ht="18" hidden="1" customHeight="1" spans="1:14">
      <c r="A1078" s="207"/>
      <c r="B1078" s="210" t="s">
        <v>1822</v>
      </c>
      <c r="C1078" s="211">
        <v>8.82</v>
      </c>
      <c r="D1078" s="211">
        <f t="shared" si="41"/>
        <v>8.82</v>
      </c>
      <c r="E1078" s="211">
        <v>8.82</v>
      </c>
      <c r="F1078" s="211"/>
      <c r="G1078" s="211"/>
      <c r="H1078" s="211"/>
      <c r="I1078" s="211"/>
      <c r="J1078" s="211"/>
      <c r="K1078" s="211"/>
      <c r="L1078" s="211"/>
      <c r="M1078" s="211"/>
      <c r="N1078" s="213"/>
    </row>
    <row r="1079" ht="18" hidden="1" customHeight="1" spans="1:14">
      <c r="A1079" s="207"/>
      <c r="B1079" s="210" t="s">
        <v>1808</v>
      </c>
      <c r="C1079" s="211">
        <v>10.5</v>
      </c>
      <c r="D1079" s="211">
        <f t="shared" si="41"/>
        <v>10.5</v>
      </c>
      <c r="E1079" s="211">
        <v>10.5</v>
      </c>
      <c r="F1079" s="211"/>
      <c r="G1079" s="211"/>
      <c r="H1079" s="211"/>
      <c r="I1079" s="211"/>
      <c r="J1079" s="211"/>
      <c r="K1079" s="211"/>
      <c r="L1079" s="211"/>
      <c r="M1079" s="211"/>
      <c r="N1079" s="213"/>
    </row>
    <row r="1080" ht="18" hidden="1" customHeight="1" spans="1:14">
      <c r="A1080" s="207"/>
      <c r="B1080" s="210" t="s">
        <v>1955</v>
      </c>
      <c r="C1080" s="211">
        <v>400</v>
      </c>
      <c r="D1080" s="211">
        <f t="shared" si="41"/>
        <v>400</v>
      </c>
      <c r="E1080" s="211">
        <v>400</v>
      </c>
      <c r="F1080" s="211"/>
      <c r="G1080" s="211"/>
      <c r="H1080" s="211"/>
      <c r="I1080" s="211"/>
      <c r="J1080" s="211"/>
      <c r="K1080" s="211"/>
      <c r="L1080" s="211"/>
      <c r="M1080" s="211"/>
      <c r="N1080" s="213"/>
    </row>
    <row r="1081" ht="18" hidden="1" customHeight="1" spans="1:14">
      <c r="A1081" s="207"/>
      <c r="B1081" s="210" t="s">
        <v>1821</v>
      </c>
      <c r="C1081" s="211">
        <v>5</v>
      </c>
      <c r="D1081" s="211">
        <f t="shared" si="41"/>
        <v>5</v>
      </c>
      <c r="E1081" s="211">
        <v>5</v>
      </c>
      <c r="F1081" s="211"/>
      <c r="G1081" s="211"/>
      <c r="H1081" s="211"/>
      <c r="I1081" s="211"/>
      <c r="J1081" s="211"/>
      <c r="K1081" s="211"/>
      <c r="L1081" s="211"/>
      <c r="M1081" s="211"/>
      <c r="N1081" s="213"/>
    </row>
    <row r="1082" ht="18" hidden="1" customHeight="1" spans="1:14">
      <c r="A1082" s="207"/>
      <c r="B1082" s="210" t="s">
        <v>1956</v>
      </c>
      <c r="C1082" s="211">
        <v>50</v>
      </c>
      <c r="D1082" s="211">
        <f t="shared" si="41"/>
        <v>50</v>
      </c>
      <c r="E1082" s="211">
        <v>50</v>
      </c>
      <c r="F1082" s="211"/>
      <c r="G1082" s="211"/>
      <c r="H1082" s="211"/>
      <c r="I1082" s="211"/>
      <c r="J1082" s="211"/>
      <c r="K1082" s="211"/>
      <c r="L1082" s="211"/>
      <c r="M1082" s="211"/>
      <c r="N1082" s="213"/>
    </row>
    <row r="1083" ht="18" hidden="1" customHeight="1" spans="1:14">
      <c r="A1083" s="207"/>
      <c r="B1083" s="210" t="s">
        <v>1957</v>
      </c>
      <c r="C1083" s="211">
        <v>80.25</v>
      </c>
      <c r="D1083" s="211">
        <f t="shared" si="41"/>
        <v>80.25</v>
      </c>
      <c r="E1083" s="211">
        <v>80.25</v>
      </c>
      <c r="F1083" s="211"/>
      <c r="G1083" s="211"/>
      <c r="H1083" s="211"/>
      <c r="I1083" s="211"/>
      <c r="J1083" s="211"/>
      <c r="K1083" s="211"/>
      <c r="L1083" s="211"/>
      <c r="M1083" s="211"/>
      <c r="N1083" s="213"/>
    </row>
    <row r="1084" ht="18" hidden="1" customHeight="1" spans="1:14">
      <c r="A1084" s="207"/>
      <c r="B1084" s="210" t="s">
        <v>1958</v>
      </c>
      <c r="C1084" s="211">
        <v>480</v>
      </c>
      <c r="D1084" s="211">
        <f t="shared" si="41"/>
        <v>480</v>
      </c>
      <c r="E1084" s="211">
        <v>480</v>
      </c>
      <c r="F1084" s="211"/>
      <c r="G1084" s="211"/>
      <c r="H1084" s="211"/>
      <c r="I1084" s="211"/>
      <c r="J1084" s="211"/>
      <c r="K1084" s="211"/>
      <c r="L1084" s="211"/>
      <c r="M1084" s="211"/>
      <c r="N1084" s="213"/>
    </row>
    <row r="1085" ht="18" hidden="1" customHeight="1" spans="1:14">
      <c r="A1085" s="207"/>
      <c r="B1085" s="210" t="s">
        <v>1797</v>
      </c>
      <c r="C1085" s="211">
        <v>22.67</v>
      </c>
      <c r="D1085" s="211">
        <f t="shared" si="41"/>
        <v>22.67</v>
      </c>
      <c r="E1085" s="211">
        <v>22.67</v>
      </c>
      <c r="F1085" s="211"/>
      <c r="G1085" s="211"/>
      <c r="H1085" s="211"/>
      <c r="I1085" s="211"/>
      <c r="J1085" s="211"/>
      <c r="K1085" s="211"/>
      <c r="L1085" s="211"/>
      <c r="M1085" s="211"/>
      <c r="N1085" s="213"/>
    </row>
    <row r="1086" ht="18" hidden="1" customHeight="1" spans="1:14">
      <c r="A1086" s="207"/>
      <c r="B1086" s="210" t="s">
        <v>1959</v>
      </c>
      <c r="C1086" s="211">
        <v>800</v>
      </c>
      <c r="D1086" s="211">
        <f t="shared" si="41"/>
        <v>800</v>
      </c>
      <c r="E1086" s="211">
        <v>800</v>
      </c>
      <c r="F1086" s="211"/>
      <c r="G1086" s="211"/>
      <c r="H1086" s="211"/>
      <c r="I1086" s="211"/>
      <c r="J1086" s="211"/>
      <c r="K1086" s="211"/>
      <c r="L1086" s="211"/>
      <c r="M1086" s="211"/>
      <c r="N1086" s="213"/>
    </row>
    <row r="1087" ht="18" hidden="1" customHeight="1" spans="1:14">
      <c r="A1087" s="207"/>
      <c r="B1087" s="210" t="s">
        <v>1960</v>
      </c>
      <c r="C1087" s="211">
        <v>60</v>
      </c>
      <c r="D1087" s="211">
        <f t="shared" si="41"/>
        <v>60</v>
      </c>
      <c r="E1087" s="211"/>
      <c r="F1087" s="211">
        <v>60</v>
      </c>
      <c r="G1087" s="211"/>
      <c r="H1087" s="211"/>
      <c r="I1087" s="211"/>
      <c r="J1087" s="211"/>
      <c r="K1087" s="211"/>
      <c r="L1087" s="211"/>
      <c r="M1087" s="211"/>
      <c r="N1087" s="213"/>
    </row>
    <row r="1088" ht="18" hidden="1" customHeight="1" spans="1:14">
      <c r="A1088" s="207"/>
      <c r="B1088" s="210" t="s">
        <v>1799</v>
      </c>
      <c r="C1088" s="211">
        <v>25.2</v>
      </c>
      <c r="D1088" s="211">
        <f t="shared" si="41"/>
        <v>25.2</v>
      </c>
      <c r="E1088" s="211">
        <v>25.2</v>
      </c>
      <c r="F1088" s="211"/>
      <c r="G1088" s="211"/>
      <c r="H1088" s="211"/>
      <c r="I1088" s="211"/>
      <c r="J1088" s="211"/>
      <c r="K1088" s="211"/>
      <c r="L1088" s="211"/>
      <c r="M1088" s="211"/>
      <c r="N1088" s="213"/>
    </row>
    <row r="1089" ht="18" hidden="1" customHeight="1" spans="1:14">
      <c r="A1089" s="207"/>
      <c r="B1089" s="210" t="s">
        <v>1961</v>
      </c>
      <c r="C1089" s="211">
        <v>286</v>
      </c>
      <c r="D1089" s="211">
        <f t="shared" si="41"/>
        <v>286</v>
      </c>
      <c r="E1089" s="211"/>
      <c r="F1089" s="211">
        <v>286</v>
      </c>
      <c r="G1089" s="211"/>
      <c r="H1089" s="211"/>
      <c r="I1089" s="211"/>
      <c r="J1089" s="211"/>
      <c r="K1089" s="211"/>
      <c r="L1089" s="211"/>
      <c r="M1089" s="211"/>
      <c r="N1089" s="213"/>
    </row>
    <row r="1090" ht="18" hidden="1" customHeight="1" spans="1:14">
      <c r="A1090" s="207"/>
      <c r="B1090" s="210" t="s">
        <v>1962</v>
      </c>
      <c r="C1090" s="211">
        <v>500</v>
      </c>
      <c r="D1090" s="211">
        <f t="shared" si="41"/>
        <v>500</v>
      </c>
      <c r="E1090" s="211"/>
      <c r="F1090" s="211">
        <v>500</v>
      </c>
      <c r="G1090" s="211"/>
      <c r="H1090" s="211"/>
      <c r="I1090" s="211"/>
      <c r="J1090" s="211"/>
      <c r="K1090" s="211"/>
      <c r="L1090" s="211"/>
      <c r="M1090" s="211"/>
      <c r="N1090" s="213"/>
    </row>
    <row r="1091" ht="18" hidden="1" customHeight="1" spans="1:14">
      <c r="A1091" s="207"/>
      <c r="B1091" s="210" t="s">
        <v>1963</v>
      </c>
      <c r="C1091" s="211">
        <v>300</v>
      </c>
      <c r="D1091" s="211">
        <f t="shared" si="41"/>
        <v>300</v>
      </c>
      <c r="E1091" s="211">
        <v>300</v>
      </c>
      <c r="F1091" s="211"/>
      <c r="G1091" s="211"/>
      <c r="H1091" s="211"/>
      <c r="I1091" s="211"/>
      <c r="J1091" s="211"/>
      <c r="K1091" s="211"/>
      <c r="L1091" s="211"/>
      <c r="M1091" s="211"/>
      <c r="N1091" s="213"/>
    </row>
    <row r="1092" ht="18" hidden="1" customHeight="1" spans="1:14">
      <c r="A1092" s="207"/>
      <c r="B1092" s="210" t="s">
        <v>1802</v>
      </c>
      <c r="C1092" s="211">
        <v>5</v>
      </c>
      <c r="D1092" s="211">
        <f t="shared" si="41"/>
        <v>5</v>
      </c>
      <c r="E1092" s="211">
        <v>5</v>
      </c>
      <c r="F1092" s="211"/>
      <c r="G1092" s="211"/>
      <c r="H1092" s="211"/>
      <c r="I1092" s="211"/>
      <c r="J1092" s="211"/>
      <c r="K1092" s="211"/>
      <c r="L1092" s="211"/>
      <c r="M1092" s="211"/>
      <c r="N1092" s="213"/>
    </row>
    <row r="1093" ht="18" hidden="1" customHeight="1" spans="1:14">
      <c r="A1093" s="207"/>
      <c r="B1093" s="210" t="s">
        <v>1964</v>
      </c>
      <c r="C1093" s="211">
        <v>134.4</v>
      </c>
      <c r="D1093" s="211">
        <f t="shared" si="41"/>
        <v>134.4</v>
      </c>
      <c r="E1093" s="211">
        <v>134.4</v>
      </c>
      <c r="F1093" s="211"/>
      <c r="G1093" s="211"/>
      <c r="H1093" s="211"/>
      <c r="I1093" s="211"/>
      <c r="J1093" s="211"/>
      <c r="K1093" s="211"/>
      <c r="L1093" s="211"/>
      <c r="M1093" s="211"/>
      <c r="N1093" s="213"/>
    </row>
    <row r="1094" ht="18" hidden="1" customHeight="1" spans="1:14">
      <c r="A1094" s="207"/>
      <c r="B1094" s="210" t="s">
        <v>1965</v>
      </c>
      <c r="C1094" s="211">
        <v>60</v>
      </c>
      <c r="D1094" s="211">
        <f t="shared" si="41"/>
        <v>60</v>
      </c>
      <c r="E1094" s="211"/>
      <c r="F1094" s="211">
        <v>60</v>
      </c>
      <c r="G1094" s="211"/>
      <c r="H1094" s="211"/>
      <c r="I1094" s="211"/>
      <c r="J1094" s="211"/>
      <c r="K1094" s="211"/>
      <c r="L1094" s="211"/>
      <c r="M1094" s="211"/>
      <c r="N1094" s="213"/>
    </row>
    <row r="1095" ht="18" hidden="1" customHeight="1" spans="1:14">
      <c r="A1095" s="207"/>
      <c r="B1095" s="210" t="s">
        <v>1824</v>
      </c>
      <c r="C1095" s="211">
        <v>3.5</v>
      </c>
      <c r="D1095" s="211">
        <f t="shared" si="41"/>
        <v>3.5</v>
      </c>
      <c r="E1095" s="211">
        <v>3.5</v>
      </c>
      <c r="F1095" s="211"/>
      <c r="G1095" s="211"/>
      <c r="H1095" s="211"/>
      <c r="I1095" s="211"/>
      <c r="J1095" s="211"/>
      <c r="K1095" s="211"/>
      <c r="L1095" s="211"/>
      <c r="M1095" s="211"/>
      <c r="N1095" s="213"/>
    </row>
    <row r="1096" ht="18" hidden="1" customHeight="1" spans="1:14">
      <c r="A1096" s="207"/>
      <c r="B1096" s="210" t="s">
        <v>1820</v>
      </c>
      <c r="C1096" s="211">
        <v>505.61</v>
      </c>
      <c r="D1096" s="211">
        <f t="shared" si="41"/>
        <v>505.61</v>
      </c>
      <c r="E1096" s="211">
        <v>505.61</v>
      </c>
      <c r="F1096" s="211"/>
      <c r="G1096" s="211"/>
      <c r="H1096" s="211"/>
      <c r="I1096" s="211"/>
      <c r="J1096" s="211"/>
      <c r="K1096" s="211"/>
      <c r="L1096" s="211"/>
      <c r="M1096" s="211"/>
      <c r="N1096" s="213"/>
    </row>
    <row r="1097" ht="18" hidden="1" customHeight="1" spans="1:14">
      <c r="A1097" s="216">
        <v>816002</v>
      </c>
      <c r="B1097" s="210" t="s">
        <v>1966</v>
      </c>
      <c r="C1097" s="205">
        <v>25.6</v>
      </c>
      <c r="D1097" s="205">
        <f t="shared" si="41"/>
        <v>25.6</v>
      </c>
      <c r="E1097" s="205">
        <v>25.6</v>
      </c>
      <c r="F1097" s="205"/>
      <c r="G1097" s="205"/>
      <c r="H1097" s="205"/>
      <c r="I1097" s="205"/>
      <c r="J1097" s="205"/>
      <c r="K1097" s="205"/>
      <c r="L1097" s="205"/>
      <c r="M1097" s="205"/>
      <c r="N1097" s="213"/>
    </row>
    <row r="1098" ht="18" hidden="1" customHeight="1" spans="1:14">
      <c r="A1098" s="207"/>
      <c r="B1098" s="210" t="s">
        <v>1805</v>
      </c>
      <c r="C1098" s="211">
        <v>10</v>
      </c>
      <c r="D1098" s="211">
        <f t="shared" si="41"/>
        <v>10</v>
      </c>
      <c r="E1098" s="211">
        <v>10</v>
      </c>
      <c r="F1098" s="211"/>
      <c r="G1098" s="211"/>
      <c r="H1098" s="211"/>
      <c r="I1098" s="211"/>
      <c r="J1098" s="211"/>
      <c r="K1098" s="211"/>
      <c r="L1098" s="211"/>
      <c r="M1098" s="211"/>
      <c r="N1098" s="213"/>
    </row>
    <row r="1099" ht="18" hidden="1" customHeight="1" spans="1:14">
      <c r="A1099" s="207"/>
      <c r="B1099" s="210" t="s">
        <v>1806</v>
      </c>
      <c r="C1099" s="211">
        <v>15.6</v>
      </c>
      <c r="D1099" s="211">
        <f t="shared" si="41"/>
        <v>15.6</v>
      </c>
      <c r="E1099" s="211">
        <v>15.6</v>
      </c>
      <c r="F1099" s="211"/>
      <c r="G1099" s="211"/>
      <c r="H1099" s="211"/>
      <c r="I1099" s="211"/>
      <c r="J1099" s="211"/>
      <c r="K1099" s="211"/>
      <c r="L1099" s="211"/>
      <c r="M1099" s="211"/>
      <c r="N1099" s="213"/>
    </row>
    <row r="1100" ht="18" hidden="1" customHeight="1" spans="1:14">
      <c r="A1100" s="216">
        <v>816004</v>
      </c>
      <c r="B1100" s="210" t="s">
        <v>1967</v>
      </c>
      <c r="C1100" s="205">
        <v>323</v>
      </c>
      <c r="D1100" s="205">
        <f t="shared" si="41"/>
        <v>323</v>
      </c>
      <c r="E1100" s="205">
        <v>323</v>
      </c>
      <c r="F1100" s="205"/>
      <c r="G1100" s="205"/>
      <c r="H1100" s="205"/>
      <c r="I1100" s="205"/>
      <c r="J1100" s="205"/>
      <c r="K1100" s="205"/>
      <c r="L1100" s="205"/>
      <c r="M1100" s="205"/>
      <c r="N1100" s="213"/>
    </row>
    <row r="1101" ht="18" hidden="1" customHeight="1" spans="1:14">
      <c r="A1101" s="207"/>
      <c r="B1101" s="210" t="s">
        <v>1968</v>
      </c>
      <c r="C1101" s="211">
        <v>323</v>
      </c>
      <c r="D1101" s="211">
        <f t="shared" si="41"/>
        <v>323</v>
      </c>
      <c r="E1101" s="211">
        <v>323</v>
      </c>
      <c r="F1101" s="211"/>
      <c r="G1101" s="211"/>
      <c r="H1101" s="211"/>
      <c r="I1101" s="211"/>
      <c r="J1101" s="211"/>
      <c r="K1101" s="211"/>
      <c r="L1101" s="211"/>
      <c r="M1101" s="211"/>
      <c r="N1101" s="213"/>
    </row>
    <row r="1102" ht="18" hidden="1" customHeight="1" spans="1:14">
      <c r="A1102" s="207"/>
      <c r="B1102" s="215" t="s">
        <v>950</v>
      </c>
      <c r="C1102" s="205">
        <f t="shared" ref="C1102:F1102" si="42">C1103+C1125+C1128</f>
        <v>5041.17</v>
      </c>
      <c r="D1102" s="205">
        <f t="shared" si="42"/>
        <v>5041.17</v>
      </c>
      <c r="E1102" s="205">
        <f t="shared" si="42"/>
        <v>4041.17</v>
      </c>
      <c r="F1102" s="205">
        <f t="shared" si="42"/>
        <v>1000</v>
      </c>
      <c r="G1102" s="211"/>
      <c r="H1102" s="211"/>
      <c r="I1102" s="211"/>
      <c r="J1102" s="211"/>
      <c r="K1102" s="211"/>
      <c r="L1102" s="211"/>
      <c r="M1102" s="211"/>
      <c r="N1102" s="213"/>
    </row>
    <row r="1103" ht="18" hidden="1" customHeight="1" spans="1:14">
      <c r="A1103" s="216">
        <v>817001</v>
      </c>
      <c r="B1103" s="210" t="s">
        <v>1969</v>
      </c>
      <c r="C1103" s="205">
        <v>5007.27</v>
      </c>
      <c r="D1103" s="205">
        <f t="shared" ref="D1103:D1129" si="43">E1103+F1103</f>
        <v>5007.27</v>
      </c>
      <c r="E1103" s="205">
        <v>4007.27</v>
      </c>
      <c r="F1103" s="205">
        <v>1000</v>
      </c>
      <c r="G1103" s="205"/>
      <c r="H1103" s="205"/>
      <c r="I1103" s="205"/>
      <c r="J1103" s="205"/>
      <c r="K1103" s="205"/>
      <c r="L1103" s="205"/>
      <c r="M1103" s="205"/>
      <c r="N1103" s="213"/>
    </row>
    <row r="1104" ht="18" hidden="1" customHeight="1" spans="1:14">
      <c r="A1104" s="207"/>
      <c r="B1104" s="210" t="s">
        <v>1970</v>
      </c>
      <c r="C1104" s="211">
        <v>520</v>
      </c>
      <c r="D1104" s="211">
        <f t="shared" si="43"/>
        <v>520</v>
      </c>
      <c r="E1104" s="211">
        <v>520</v>
      </c>
      <c r="F1104" s="211"/>
      <c r="G1104" s="211"/>
      <c r="H1104" s="211"/>
      <c r="I1104" s="211"/>
      <c r="J1104" s="211"/>
      <c r="K1104" s="211"/>
      <c r="L1104" s="211"/>
      <c r="M1104" s="211"/>
      <c r="N1104" s="213"/>
    </row>
    <row r="1105" ht="18" hidden="1" customHeight="1" spans="1:14">
      <c r="A1105" s="207"/>
      <c r="B1105" s="210" t="s">
        <v>1971</v>
      </c>
      <c r="C1105" s="211">
        <v>3.5</v>
      </c>
      <c r="D1105" s="211">
        <f t="shared" si="43"/>
        <v>3.5</v>
      </c>
      <c r="E1105" s="211">
        <v>3.5</v>
      </c>
      <c r="F1105" s="211"/>
      <c r="G1105" s="211"/>
      <c r="H1105" s="211"/>
      <c r="I1105" s="211"/>
      <c r="J1105" s="211"/>
      <c r="K1105" s="211"/>
      <c r="L1105" s="211"/>
      <c r="M1105" s="211"/>
      <c r="N1105" s="213"/>
    </row>
    <row r="1106" ht="18" hidden="1" customHeight="1" spans="1:14">
      <c r="A1106" s="207"/>
      <c r="B1106" s="210" t="s">
        <v>1972</v>
      </c>
      <c r="C1106" s="211">
        <v>500</v>
      </c>
      <c r="D1106" s="211">
        <f t="shared" si="43"/>
        <v>500</v>
      </c>
      <c r="E1106" s="211"/>
      <c r="F1106" s="211">
        <v>500</v>
      </c>
      <c r="G1106" s="211"/>
      <c r="H1106" s="211"/>
      <c r="I1106" s="211"/>
      <c r="J1106" s="211"/>
      <c r="K1106" s="211"/>
      <c r="L1106" s="211"/>
      <c r="M1106" s="211"/>
      <c r="N1106" s="213"/>
    </row>
    <row r="1107" ht="18" hidden="1" customHeight="1" spans="1:14">
      <c r="A1107" s="207"/>
      <c r="B1107" s="210" t="s">
        <v>1823</v>
      </c>
      <c r="C1107" s="211">
        <v>3.5</v>
      </c>
      <c r="D1107" s="211">
        <f t="shared" si="43"/>
        <v>3.5</v>
      </c>
      <c r="E1107" s="211">
        <v>3.5</v>
      </c>
      <c r="F1107" s="211"/>
      <c r="G1107" s="211"/>
      <c r="H1107" s="211"/>
      <c r="I1107" s="211"/>
      <c r="J1107" s="211"/>
      <c r="K1107" s="211"/>
      <c r="L1107" s="211"/>
      <c r="M1107" s="211"/>
      <c r="N1107" s="213"/>
    </row>
    <row r="1108" ht="18" hidden="1" customHeight="1" spans="1:14">
      <c r="A1108" s="207"/>
      <c r="B1108" s="210" t="s">
        <v>1819</v>
      </c>
      <c r="C1108" s="211">
        <v>7</v>
      </c>
      <c r="D1108" s="211">
        <f t="shared" si="43"/>
        <v>7</v>
      </c>
      <c r="E1108" s="211">
        <v>7</v>
      </c>
      <c r="F1108" s="211"/>
      <c r="G1108" s="211"/>
      <c r="H1108" s="211"/>
      <c r="I1108" s="211"/>
      <c r="J1108" s="211"/>
      <c r="K1108" s="211"/>
      <c r="L1108" s="211"/>
      <c r="M1108" s="211"/>
      <c r="N1108" s="213"/>
    </row>
    <row r="1109" ht="18" hidden="1" customHeight="1" spans="1:14">
      <c r="A1109" s="207"/>
      <c r="B1109" s="210" t="s">
        <v>1801</v>
      </c>
      <c r="C1109" s="211">
        <v>432.96</v>
      </c>
      <c r="D1109" s="211">
        <f t="shared" si="43"/>
        <v>432.96</v>
      </c>
      <c r="E1109" s="211">
        <v>432.96</v>
      </c>
      <c r="F1109" s="211"/>
      <c r="G1109" s="211"/>
      <c r="H1109" s="211"/>
      <c r="I1109" s="211"/>
      <c r="J1109" s="211"/>
      <c r="K1109" s="211"/>
      <c r="L1109" s="211"/>
      <c r="M1109" s="211"/>
      <c r="N1109" s="213"/>
    </row>
    <row r="1110" ht="18" hidden="1" customHeight="1" spans="1:14">
      <c r="A1110" s="207"/>
      <c r="B1110" s="210" t="s">
        <v>1821</v>
      </c>
      <c r="C1110" s="211">
        <v>5</v>
      </c>
      <c r="D1110" s="211">
        <f t="shared" si="43"/>
        <v>5</v>
      </c>
      <c r="E1110" s="211">
        <v>5</v>
      </c>
      <c r="F1110" s="211"/>
      <c r="G1110" s="211"/>
      <c r="H1110" s="211"/>
      <c r="I1110" s="211"/>
      <c r="J1110" s="211"/>
      <c r="K1110" s="211"/>
      <c r="L1110" s="211"/>
      <c r="M1110" s="211"/>
      <c r="N1110" s="213"/>
    </row>
    <row r="1111" ht="18" hidden="1" customHeight="1" spans="1:14">
      <c r="A1111" s="207"/>
      <c r="B1111" s="210" t="s">
        <v>1820</v>
      </c>
      <c r="C1111" s="211">
        <v>53.58</v>
      </c>
      <c r="D1111" s="211">
        <f t="shared" si="43"/>
        <v>53.58</v>
      </c>
      <c r="E1111" s="211">
        <v>53.58</v>
      </c>
      <c r="F1111" s="211"/>
      <c r="G1111" s="211"/>
      <c r="H1111" s="211"/>
      <c r="I1111" s="211"/>
      <c r="J1111" s="211"/>
      <c r="K1111" s="211"/>
      <c r="L1111" s="211"/>
      <c r="M1111" s="211"/>
      <c r="N1111" s="213"/>
    </row>
    <row r="1112" ht="18" hidden="1" customHeight="1" spans="1:14">
      <c r="A1112" s="207"/>
      <c r="B1112" s="210" t="s">
        <v>1973</v>
      </c>
      <c r="C1112" s="211">
        <v>214</v>
      </c>
      <c r="D1112" s="211">
        <f t="shared" si="43"/>
        <v>214</v>
      </c>
      <c r="E1112" s="211">
        <v>214</v>
      </c>
      <c r="F1112" s="211"/>
      <c r="G1112" s="211"/>
      <c r="H1112" s="211"/>
      <c r="I1112" s="211"/>
      <c r="J1112" s="211"/>
      <c r="K1112" s="211"/>
      <c r="L1112" s="211"/>
      <c r="M1112" s="211"/>
      <c r="N1112" s="213"/>
    </row>
    <row r="1113" ht="18" hidden="1" customHeight="1" spans="1:14">
      <c r="A1113" s="207"/>
      <c r="B1113" s="210" t="s">
        <v>1974</v>
      </c>
      <c r="C1113" s="211">
        <v>200</v>
      </c>
      <c r="D1113" s="211">
        <f t="shared" si="43"/>
        <v>200</v>
      </c>
      <c r="E1113" s="211">
        <v>200</v>
      </c>
      <c r="F1113" s="211"/>
      <c r="G1113" s="211"/>
      <c r="H1113" s="211"/>
      <c r="I1113" s="211"/>
      <c r="J1113" s="211"/>
      <c r="K1113" s="211"/>
      <c r="L1113" s="211"/>
      <c r="M1113" s="211"/>
      <c r="N1113" s="213"/>
    </row>
    <row r="1114" ht="18" hidden="1" customHeight="1" spans="1:14">
      <c r="A1114" s="207"/>
      <c r="B1114" s="210" t="s">
        <v>1799</v>
      </c>
      <c r="C1114" s="211">
        <v>15.6</v>
      </c>
      <c r="D1114" s="211">
        <f t="shared" si="43"/>
        <v>15.6</v>
      </c>
      <c r="E1114" s="211">
        <v>15.6</v>
      </c>
      <c r="F1114" s="211"/>
      <c r="G1114" s="211"/>
      <c r="H1114" s="211"/>
      <c r="I1114" s="211"/>
      <c r="J1114" s="211"/>
      <c r="K1114" s="211"/>
      <c r="L1114" s="211"/>
      <c r="M1114" s="211"/>
      <c r="N1114" s="213"/>
    </row>
    <row r="1115" ht="18" hidden="1" customHeight="1" spans="1:14">
      <c r="A1115" s="207"/>
      <c r="B1115" s="210" t="s">
        <v>1975</v>
      </c>
      <c r="C1115" s="211">
        <v>400</v>
      </c>
      <c r="D1115" s="211">
        <f t="shared" si="43"/>
        <v>400</v>
      </c>
      <c r="E1115" s="211">
        <v>400</v>
      </c>
      <c r="F1115" s="211"/>
      <c r="G1115" s="211"/>
      <c r="H1115" s="211"/>
      <c r="I1115" s="211"/>
      <c r="J1115" s="211"/>
      <c r="K1115" s="211"/>
      <c r="L1115" s="211"/>
      <c r="M1115" s="211"/>
      <c r="N1115" s="213"/>
    </row>
    <row r="1116" ht="18" hidden="1" customHeight="1" spans="1:14">
      <c r="A1116" s="207"/>
      <c r="B1116" s="210" t="s">
        <v>1802</v>
      </c>
      <c r="C1116" s="211">
        <v>5</v>
      </c>
      <c r="D1116" s="211">
        <f t="shared" si="43"/>
        <v>5</v>
      </c>
      <c r="E1116" s="211">
        <v>5</v>
      </c>
      <c r="F1116" s="211"/>
      <c r="G1116" s="211"/>
      <c r="H1116" s="211"/>
      <c r="I1116" s="211"/>
      <c r="J1116" s="211"/>
      <c r="K1116" s="211"/>
      <c r="L1116" s="211"/>
      <c r="M1116" s="211"/>
      <c r="N1116" s="213"/>
    </row>
    <row r="1117" ht="18" hidden="1" customHeight="1" spans="1:14">
      <c r="A1117" s="207"/>
      <c r="B1117" s="210" t="s">
        <v>1976</v>
      </c>
      <c r="C1117" s="211">
        <v>490</v>
      </c>
      <c r="D1117" s="211">
        <f t="shared" si="43"/>
        <v>490</v>
      </c>
      <c r="E1117" s="211"/>
      <c r="F1117" s="211">
        <v>490</v>
      </c>
      <c r="G1117" s="211"/>
      <c r="H1117" s="211"/>
      <c r="I1117" s="211"/>
      <c r="J1117" s="211"/>
      <c r="K1117" s="211"/>
      <c r="L1117" s="211"/>
      <c r="M1117" s="211"/>
      <c r="N1117" s="213"/>
    </row>
    <row r="1118" ht="18" hidden="1" customHeight="1" spans="1:14">
      <c r="A1118" s="207"/>
      <c r="B1118" s="210" t="s">
        <v>1822</v>
      </c>
      <c r="C1118" s="211">
        <v>4.68</v>
      </c>
      <c r="D1118" s="211">
        <f t="shared" si="43"/>
        <v>4.68</v>
      </c>
      <c r="E1118" s="211">
        <v>4.68</v>
      </c>
      <c r="F1118" s="211"/>
      <c r="G1118" s="211"/>
      <c r="H1118" s="211"/>
      <c r="I1118" s="211"/>
      <c r="J1118" s="211"/>
      <c r="K1118" s="211"/>
      <c r="L1118" s="211"/>
      <c r="M1118" s="211"/>
      <c r="N1118" s="213"/>
    </row>
    <row r="1119" ht="18" hidden="1" customHeight="1" spans="1:14">
      <c r="A1119" s="207"/>
      <c r="B1119" s="210" t="s">
        <v>1977</v>
      </c>
      <c r="C1119" s="211">
        <v>800</v>
      </c>
      <c r="D1119" s="211">
        <f t="shared" si="43"/>
        <v>800</v>
      </c>
      <c r="E1119" s="211">
        <v>800</v>
      </c>
      <c r="F1119" s="211"/>
      <c r="G1119" s="211"/>
      <c r="H1119" s="211"/>
      <c r="I1119" s="211"/>
      <c r="J1119" s="211"/>
      <c r="K1119" s="211"/>
      <c r="L1119" s="211"/>
      <c r="M1119" s="211"/>
      <c r="N1119" s="213"/>
    </row>
    <row r="1120" ht="18" hidden="1" customHeight="1" spans="1:14">
      <c r="A1120" s="207"/>
      <c r="B1120" s="210" t="s">
        <v>1978</v>
      </c>
      <c r="C1120" s="211">
        <v>180</v>
      </c>
      <c r="D1120" s="211">
        <f t="shared" si="43"/>
        <v>180</v>
      </c>
      <c r="E1120" s="211">
        <v>180</v>
      </c>
      <c r="F1120" s="211"/>
      <c r="G1120" s="211"/>
      <c r="H1120" s="211"/>
      <c r="I1120" s="211"/>
      <c r="J1120" s="211"/>
      <c r="K1120" s="211"/>
      <c r="L1120" s="211"/>
      <c r="M1120" s="211"/>
      <c r="N1120" s="213"/>
    </row>
    <row r="1121" ht="18" hidden="1" customHeight="1" spans="1:14">
      <c r="A1121" s="207"/>
      <c r="B1121" s="210" t="s">
        <v>1979</v>
      </c>
      <c r="C1121" s="211">
        <v>172</v>
      </c>
      <c r="D1121" s="211">
        <f t="shared" si="43"/>
        <v>172</v>
      </c>
      <c r="E1121" s="211">
        <v>172</v>
      </c>
      <c r="F1121" s="211"/>
      <c r="G1121" s="211"/>
      <c r="H1121" s="211"/>
      <c r="I1121" s="211"/>
      <c r="J1121" s="211"/>
      <c r="K1121" s="211"/>
      <c r="L1121" s="211"/>
      <c r="M1121" s="211"/>
      <c r="N1121" s="213"/>
    </row>
    <row r="1122" ht="18" hidden="1" customHeight="1" spans="1:14">
      <c r="A1122" s="207"/>
      <c r="B1122" s="210" t="s">
        <v>1980</v>
      </c>
      <c r="C1122" s="211">
        <v>800</v>
      </c>
      <c r="D1122" s="211">
        <f t="shared" si="43"/>
        <v>800</v>
      </c>
      <c r="E1122" s="211">
        <v>800</v>
      </c>
      <c r="F1122" s="211"/>
      <c r="G1122" s="211"/>
      <c r="H1122" s="211"/>
      <c r="I1122" s="211"/>
      <c r="J1122" s="211"/>
      <c r="K1122" s="211"/>
      <c r="L1122" s="211"/>
      <c r="M1122" s="211"/>
      <c r="N1122" s="213"/>
    </row>
    <row r="1123" ht="18" hidden="1" customHeight="1" spans="1:14">
      <c r="A1123" s="207"/>
      <c r="B1123" s="210" t="s">
        <v>1981</v>
      </c>
      <c r="C1123" s="211">
        <v>180</v>
      </c>
      <c r="D1123" s="211">
        <f t="shared" si="43"/>
        <v>180</v>
      </c>
      <c r="E1123" s="211">
        <v>170</v>
      </c>
      <c r="F1123" s="211">
        <v>10</v>
      </c>
      <c r="G1123" s="211"/>
      <c r="H1123" s="211"/>
      <c r="I1123" s="211"/>
      <c r="J1123" s="211"/>
      <c r="K1123" s="211"/>
      <c r="L1123" s="211"/>
      <c r="M1123" s="211"/>
      <c r="N1123" s="213"/>
    </row>
    <row r="1124" ht="18" hidden="1" customHeight="1" spans="1:14">
      <c r="A1124" s="207"/>
      <c r="B1124" s="210" t="s">
        <v>1797</v>
      </c>
      <c r="C1124" s="211">
        <v>20.45</v>
      </c>
      <c r="D1124" s="211">
        <f t="shared" si="43"/>
        <v>20.45</v>
      </c>
      <c r="E1124" s="211">
        <v>20.45</v>
      </c>
      <c r="F1124" s="211"/>
      <c r="G1124" s="211"/>
      <c r="H1124" s="211"/>
      <c r="I1124" s="211"/>
      <c r="J1124" s="211"/>
      <c r="K1124" s="211"/>
      <c r="L1124" s="211"/>
      <c r="M1124" s="211"/>
      <c r="N1124" s="213"/>
    </row>
    <row r="1125" ht="18" hidden="1" customHeight="1" spans="1:14">
      <c r="A1125" s="216">
        <v>817002</v>
      </c>
      <c r="B1125" s="217" t="s">
        <v>954</v>
      </c>
      <c r="C1125" s="205">
        <v>23.4</v>
      </c>
      <c r="D1125" s="205">
        <f t="shared" si="43"/>
        <v>23.4</v>
      </c>
      <c r="E1125" s="205">
        <v>23.4</v>
      </c>
      <c r="F1125" s="205"/>
      <c r="G1125" s="205"/>
      <c r="H1125" s="205"/>
      <c r="I1125" s="205"/>
      <c r="J1125" s="205"/>
      <c r="K1125" s="205"/>
      <c r="L1125" s="205"/>
      <c r="M1125" s="205"/>
      <c r="N1125" s="213"/>
    </row>
    <row r="1126" ht="18" hidden="1" customHeight="1" spans="1:14">
      <c r="A1126" s="207"/>
      <c r="B1126" s="210" t="s">
        <v>1805</v>
      </c>
      <c r="C1126" s="211">
        <v>7</v>
      </c>
      <c r="D1126" s="211">
        <f t="shared" si="43"/>
        <v>7</v>
      </c>
      <c r="E1126" s="211">
        <v>7</v>
      </c>
      <c r="F1126" s="211"/>
      <c r="G1126" s="211"/>
      <c r="H1126" s="211"/>
      <c r="I1126" s="211"/>
      <c r="J1126" s="211"/>
      <c r="K1126" s="211"/>
      <c r="L1126" s="211"/>
      <c r="M1126" s="211"/>
      <c r="N1126" s="213"/>
    </row>
    <row r="1127" ht="18" hidden="1" customHeight="1" spans="1:14">
      <c r="A1127" s="207"/>
      <c r="B1127" s="210" t="s">
        <v>1806</v>
      </c>
      <c r="C1127" s="211">
        <v>16.4</v>
      </c>
      <c r="D1127" s="211">
        <f t="shared" si="43"/>
        <v>16.4</v>
      </c>
      <c r="E1127" s="211">
        <v>16.4</v>
      </c>
      <c r="F1127" s="211"/>
      <c r="G1127" s="211"/>
      <c r="H1127" s="211"/>
      <c r="I1127" s="211"/>
      <c r="J1127" s="211"/>
      <c r="K1127" s="211"/>
      <c r="L1127" s="211"/>
      <c r="M1127" s="211"/>
      <c r="N1127" s="213"/>
    </row>
    <row r="1128" ht="18" hidden="1" customHeight="1" spans="1:14">
      <c r="A1128" s="216">
        <v>817004</v>
      </c>
      <c r="B1128" s="217" t="s">
        <v>958</v>
      </c>
      <c r="C1128" s="205">
        <v>10.5</v>
      </c>
      <c r="D1128" s="205">
        <f t="shared" si="43"/>
        <v>10.5</v>
      </c>
      <c r="E1128" s="205">
        <v>10.5</v>
      </c>
      <c r="F1128" s="205"/>
      <c r="G1128" s="205"/>
      <c r="H1128" s="205"/>
      <c r="I1128" s="205"/>
      <c r="J1128" s="205"/>
      <c r="K1128" s="205"/>
      <c r="L1128" s="205"/>
      <c r="M1128" s="205"/>
      <c r="N1128" s="213"/>
    </row>
    <row r="1129" ht="18" hidden="1" customHeight="1" spans="1:14">
      <c r="A1129" s="207"/>
      <c r="B1129" s="210" t="s">
        <v>1808</v>
      </c>
      <c r="C1129" s="211">
        <v>10.5</v>
      </c>
      <c r="D1129" s="211">
        <f t="shared" si="43"/>
        <v>10.5</v>
      </c>
      <c r="E1129" s="211">
        <v>10.5</v>
      </c>
      <c r="F1129" s="211"/>
      <c r="G1129" s="211"/>
      <c r="H1129" s="211"/>
      <c r="I1129" s="211"/>
      <c r="J1129" s="211"/>
      <c r="K1129" s="211"/>
      <c r="L1129" s="211"/>
      <c r="M1129" s="211"/>
      <c r="N1129" s="213"/>
    </row>
    <row r="1130" ht="18" hidden="1" customHeight="1" spans="1:14">
      <c r="A1130" s="207"/>
      <c r="B1130" s="215" t="s">
        <v>961</v>
      </c>
      <c r="C1130" s="205">
        <f t="shared" ref="C1130:F1130" si="44">C1131+C1151</f>
        <v>3768.138</v>
      </c>
      <c r="D1130" s="205">
        <f t="shared" si="44"/>
        <v>3768.138</v>
      </c>
      <c r="E1130" s="205">
        <f t="shared" si="44"/>
        <v>2768.138</v>
      </c>
      <c r="F1130" s="205">
        <f t="shared" si="44"/>
        <v>1000</v>
      </c>
      <c r="G1130" s="211"/>
      <c r="H1130" s="211"/>
      <c r="I1130" s="211"/>
      <c r="J1130" s="211"/>
      <c r="K1130" s="211"/>
      <c r="L1130" s="211"/>
      <c r="M1130" s="211"/>
      <c r="N1130" s="213"/>
    </row>
    <row r="1131" ht="18" hidden="1" customHeight="1" spans="1:14">
      <c r="A1131" s="216">
        <v>818001</v>
      </c>
      <c r="B1131" s="210" t="s">
        <v>1982</v>
      </c>
      <c r="C1131" s="205">
        <v>3745.738</v>
      </c>
      <c r="D1131" s="205">
        <f t="shared" ref="D1131:D1153" si="45">E1131+F1131</f>
        <v>3745.738</v>
      </c>
      <c r="E1131" s="205">
        <v>2745.738</v>
      </c>
      <c r="F1131" s="205">
        <v>1000</v>
      </c>
      <c r="G1131" s="205"/>
      <c r="H1131" s="205"/>
      <c r="I1131" s="205"/>
      <c r="J1131" s="205"/>
      <c r="K1131" s="205"/>
      <c r="L1131" s="205"/>
      <c r="M1131" s="205"/>
      <c r="N1131" s="213"/>
    </row>
    <row r="1132" ht="18" hidden="1" customHeight="1" spans="1:14">
      <c r="A1132" s="207"/>
      <c r="B1132" s="210" t="s">
        <v>1983</v>
      </c>
      <c r="C1132" s="211">
        <v>50</v>
      </c>
      <c r="D1132" s="211">
        <f t="shared" si="45"/>
        <v>50</v>
      </c>
      <c r="E1132" s="211">
        <v>50</v>
      </c>
      <c r="F1132" s="211"/>
      <c r="G1132" s="211"/>
      <c r="H1132" s="211"/>
      <c r="I1132" s="211"/>
      <c r="J1132" s="211"/>
      <c r="K1132" s="211"/>
      <c r="L1132" s="211"/>
      <c r="M1132" s="211"/>
      <c r="N1132" s="213"/>
    </row>
    <row r="1133" ht="18" hidden="1" customHeight="1" spans="1:14">
      <c r="A1133" s="207"/>
      <c r="B1133" s="210" t="s">
        <v>1984</v>
      </c>
      <c r="C1133" s="211">
        <v>614</v>
      </c>
      <c r="D1133" s="211">
        <f t="shared" si="45"/>
        <v>614</v>
      </c>
      <c r="E1133" s="211">
        <v>614</v>
      </c>
      <c r="F1133" s="211"/>
      <c r="G1133" s="211"/>
      <c r="H1133" s="211"/>
      <c r="I1133" s="211"/>
      <c r="J1133" s="211"/>
      <c r="K1133" s="211"/>
      <c r="L1133" s="211"/>
      <c r="M1133" s="211"/>
      <c r="N1133" s="213"/>
    </row>
    <row r="1134" ht="18" hidden="1" customHeight="1" spans="1:14">
      <c r="A1134" s="207"/>
      <c r="B1134" s="210" t="s">
        <v>1985</v>
      </c>
      <c r="C1134" s="211">
        <v>8</v>
      </c>
      <c r="D1134" s="211">
        <f t="shared" si="45"/>
        <v>8</v>
      </c>
      <c r="E1134" s="211">
        <v>8</v>
      </c>
      <c r="F1134" s="211"/>
      <c r="G1134" s="211"/>
      <c r="H1134" s="211"/>
      <c r="I1134" s="211"/>
      <c r="J1134" s="211"/>
      <c r="K1134" s="211"/>
      <c r="L1134" s="211"/>
      <c r="M1134" s="211"/>
      <c r="N1134" s="213"/>
    </row>
    <row r="1135" ht="18" hidden="1" customHeight="1" spans="1:14">
      <c r="A1135" s="207"/>
      <c r="B1135" s="210" t="s">
        <v>1944</v>
      </c>
      <c r="C1135" s="211">
        <v>10</v>
      </c>
      <c r="D1135" s="211">
        <f t="shared" si="45"/>
        <v>10</v>
      </c>
      <c r="E1135" s="211">
        <v>10</v>
      </c>
      <c r="F1135" s="211"/>
      <c r="G1135" s="211"/>
      <c r="H1135" s="211"/>
      <c r="I1135" s="211"/>
      <c r="J1135" s="211"/>
      <c r="K1135" s="211"/>
      <c r="L1135" s="211"/>
      <c r="M1135" s="211"/>
      <c r="N1135" s="213"/>
    </row>
    <row r="1136" ht="18" hidden="1" customHeight="1" spans="1:14">
      <c r="A1136" s="207"/>
      <c r="B1136" s="210" t="s">
        <v>1986</v>
      </c>
      <c r="C1136" s="211">
        <v>700</v>
      </c>
      <c r="D1136" s="211">
        <f t="shared" si="45"/>
        <v>700</v>
      </c>
      <c r="E1136" s="211"/>
      <c r="F1136" s="211">
        <v>700</v>
      </c>
      <c r="G1136" s="211"/>
      <c r="H1136" s="211"/>
      <c r="I1136" s="211"/>
      <c r="J1136" s="211"/>
      <c r="K1136" s="211"/>
      <c r="L1136" s="211"/>
      <c r="M1136" s="211"/>
      <c r="N1136" s="213"/>
    </row>
    <row r="1137" ht="18" hidden="1" customHeight="1" spans="1:14">
      <c r="A1137" s="207"/>
      <c r="B1137" s="210" t="s">
        <v>1987</v>
      </c>
      <c r="C1137" s="211">
        <v>268</v>
      </c>
      <c r="D1137" s="211">
        <f t="shared" si="45"/>
        <v>268</v>
      </c>
      <c r="E1137" s="211">
        <v>268</v>
      </c>
      <c r="F1137" s="211"/>
      <c r="G1137" s="211"/>
      <c r="H1137" s="211"/>
      <c r="I1137" s="211"/>
      <c r="J1137" s="211"/>
      <c r="K1137" s="211"/>
      <c r="L1137" s="211"/>
      <c r="M1137" s="211"/>
      <c r="N1137" s="213"/>
    </row>
    <row r="1138" ht="18" hidden="1" customHeight="1" spans="1:14">
      <c r="A1138" s="207"/>
      <c r="B1138" s="210" t="s">
        <v>1800</v>
      </c>
      <c r="C1138" s="211">
        <v>1.008</v>
      </c>
      <c r="D1138" s="211">
        <f t="shared" si="45"/>
        <v>1.008</v>
      </c>
      <c r="E1138" s="211">
        <v>1.008</v>
      </c>
      <c r="F1138" s="211"/>
      <c r="G1138" s="211"/>
      <c r="H1138" s="211"/>
      <c r="I1138" s="211"/>
      <c r="J1138" s="211"/>
      <c r="K1138" s="211"/>
      <c r="L1138" s="211"/>
      <c r="M1138" s="211"/>
      <c r="N1138" s="213"/>
    </row>
    <row r="1139" ht="18" hidden="1" customHeight="1" spans="1:14">
      <c r="A1139" s="207"/>
      <c r="B1139" s="210" t="s">
        <v>1988</v>
      </c>
      <c r="C1139" s="211">
        <v>10</v>
      </c>
      <c r="D1139" s="211">
        <f t="shared" si="45"/>
        <v>10</v>
      </c>
      <c r="E1139" s="211">
        <v>10</v>
      </c>
      <c r="F1139" s="211"/>
      <c r="G1139" s="211"/>
      <c r="H1139" s="211"/>
      <c r="I1139" s="211"/>
      <c r="J1139" s="211"/>
      <c r="K1139" s="211"/>
      <c r="L1139" s="211"/>
      <c r="M1139" s="211"/>
      <c r="N1139" s="213"/>
    </row>
    <row r="1140" ht="18" hidden="1" customHeight="1" spans="1:14">
      <c r="A1140" s="207"/>
      <c r="B1140" s="210" t="s">
        <v>1989</v>
      </c>
      <c r="C1140" s="211">
        <v>200</v>
      </c>
      <c r="D1140" s="211">
        <f t="shared" si="45"/>
        <v>200</v>
      </c>
      <c r="E1140" s="211"/>
      <c r="F1140" s="211">
        <v>200</v>
      </c>
      <c r="G1140" s="211"/>
      <c r="H1140" s="211"/>
      <c r="I1140" s="211"/>
      <c r="J1140" s="211"/>
      <c r="K1140" s="211"/>
      <c r="L1140" s="211"/>
      <c r="M1140" s="211"/>
      <c r="N1140" s="213"/>
    </row>
    <row r="1141" ht="18" hidden="1" customHeight="1" spans="1:14">
      <c r="A1141" s="207"/>
      <c r="B1141" s="210" t="s">
        <v>1822</v>
      </c>
      <c r="C1141" s="211">
        <v>2.7</v>
      </c>
      <c r="D1141" s="211">
        <f t="shared" si="45"/>
        <v>2.7</v>
      </c>
      <c r="E1141" s="211">
        <v>2.7</v>
      </c>
      <c r="F1141" s="211"/>
      <c r="G1141" s="211"/>
      <c r="H1141" s="211"/>
      <c r="I1141" s="211"/>
      <c r="J1141" s="211"/>
      <c r="K1141" s="211"/>
      <c r="L1141" s="211"/>
      <c r="M1141" s="211"/>
      <c r="N1141" s="213"/>
    </row>
    <row r="1142" ht="18" hidden="1" customHeight="1" spans="1:14">
      <c r="A1142" s="207"/>
      <c r="B1142" s="210" t="s">
        <v>1820</v>
      </c>
      <c r="C1142" s="211">
        <v>1252.41</v>
      </c>
      <c r="D1142" s="211">
        <f t="shared" si="45"/>
        <v>1252.41</v>
      </c>
      <c r="E1142" s="211">
        <v>1252.41</v>
      </c>
      <c r="F1142" s="211"/>
      <c r="G1142" s="211"/>
      <c r="H1142" s="211"/>
      <c r="I1142" s="211"/>
      <c r="J1142" s="211"/>
      <c r="K1142" s="211"/>
      <c r="L1142" s="211"/>
      <c r="M1142" s="211"/>
      <c r="N1142" s="213"/>
    </row>
    <row r="1143" ht="18" hidden="1" customHeight="1" spans="1:14">
      <c r="A1143" s="207"/>
      <c r="B1143" s="210" t="s">
        <v>1819</v>
      </c>
      <c r="C1143" s="211">
        <v>17.5</v>
      </c>
      <c r="D1143" s="211">
        <f t="shared" si="45"/>
        <v>17.5</v>
      </c>
      <c r="E1143" s="211">
        <v>17.5</v>
      </c>
      <c r="F1143" s="211"/>
      <c r="G1143" s="211"/>
      <c r="H1143" s="211"/>
      <c r="I1143" s="211"/>
      <c r="J1143" s="211"/>
      <c r="K1143" s="211"/>
      <c r="L1143" s="211"/>
      <c r="M1143" s="211"/>
      <c r="N1143" s="213"/>
    </row>
    <row r="1144" ht="18" hidden="1" customHeight="1" spans="1:14">
      <c r="A1144" s="207"/>
      <c r="B1144" s="210" t="s">
        <v>1797</v>
      </c>
      <c r="C1144" s="211">
        <v>14.62</v>
      </c>
      <c r="D1144" s="211">
        <f t="shared" si="45"/>
        <v>14.62</v>
      </c>
      <c r="E1144" s="211">
        <v>14.62</v>
      </c>
      <c r="F1144" s="211"/>
      <c r="G1144" s="211"/>
      <c r="H1144" s="211"/>
      <c r="I1144" s="211"/>
      <c r="J1144" s="211"/>
      <c r="K1144" s="211"/>
      <c r="L1144" s="211"/>
      <c r="M1144" s="211"/>
      <c r="N1144" s="213"/>
    </row>
    <row r="1145" ht="18" hidden="1" customHeight="1" spans="1:14">
      <c r="A1145" s="207"/>
      <c r="B1145" s="210" t="s">
        <v>1808</v>
      </c>
      <c r="C1145" s="211">
        <v>10.5</v>
      </c>
      <c r="D1145" s="211">
        <f t="shared" si="45"/>
        <v>10.5</v>
      </c>
      <c r="E1145" s="211">
        <v>10.5</v>
      </c>
      <c r="F1145" s="211"/>
      <c r="G1145" s="211"/>
      <c r="H1145" s="211"/>
      <c r="I1145" s="211"/>
      <c r="J1145" s="211"/>
      <c r="K1145" s="211"/>
      <c r="L1145" s="211"/>
      <c r="M1145" s="211"/>
      <c r="N1145" s="213"/>
    </row>
    <row r="1146" ht="18" hidden="1" customHeight="1" spans="1:14">
      <c r="A1146" s="207"/>
      <c r="B1146" s="210" t="s">
        <v>1990</v>
      </c>
      <c r="C1146" s="211">
        <v>40</v>
      </c>
      <c r="D1146" s="211">
        <f t="shared" si="45"/>
        <v>40</v>
      </c>
      <c r="E1146" s="211">
        <v>40</v>
      </c>
      <c r="F1146" s="211"/>
      <c r="G1146" s="211"/>
      <c r="H1146" s="211"/>
      <c r="I1146" s="211"/>
      <c r="J1146" s="211"/>
      <c r="K1146" s="211"/>
      <c r="L1146" s="211"/>
      <c r="M1146" s="211"/>
      <c r="N1146" s="213"/>
    </row>
    <row r="1147" ht="18" hidden="1" customHeight="1" spans="1:14">
      <c r="A1147" s="207"/>
      <c r="B1147" s="210" t="s">
        <v>1991</v>
      </c>
      <c r="C1147" s="211">
        <v>100</v>
      </c>
      <c r="D1147" s="211">
        <f t="shared" si="45"/>
        <v>100</v>
      </c>
      <c r="E1147" s="211"/>
      <c r="F1147" s="211">
        <v>100</v>
      </c>
      <c r="G1147" s="211"/>
      <c r="H1147" s="211"/>
      <c r="I1147" s="211"/>
      <c r="J1147" s="211"/>
      <c r="K1147" s="211"/>
      <c r="L1147" s="211"/>
      <c r="M1147" s="211"/>
      <c r="N1147" s="213"/>
    </row>
    <row r="1148" ht="18" hidden="1" customHeight="1" spans="1:14">
      <c r="A1148" s="207"/>
      <c r="B1148" s="210" t="s">
        <v>1824</v>
      </c>
      <c r="C1148" s="211">
        <v>3.5</v>
      </c>
      <c r="D1148" s="211">
        <f t="shared" si="45"/>
        <v>3.5</v>
      </c>
      <c r="E1148" s="211">
        <v>3.5</v>
      </c>
      <c r="F1148" s="211"/>
      <c r="G1148" s="211"/>
      <c r="H1148" s="211"/>
      <c r="I1148" s="211"/>
      <c r="J1148" s="211"/>
      <c r="K1148" s="211"/>
      <c r="L1148" s="211"/>
      <c r="M1148" s="211"/>
      <c r="N1148" s="213"/>
    </row>
    <row r="1149" ht="18" hidden="1" customHeight="1" spans="1:14">
      <c r="A1149" s="207"/>
      <c r="B1149" s="210" t="s">
        <v>1892</v>
      </c>
      <c r="C1149" s="211">
        <v>438.5</v>
      </c>
      <c r="D1149" s="211">
        <f t="shared" si="45"/>
        <v>438.5</v>
      </c>
      <c r="E1149" s="211">
        <v>438.5</v>
      </c>
      <c r="F1149" s="211"/>
      <c r="G1149" s="211"/>
      <c r="H1149" s="211"/>
      <c r="I1149" s="211"/>
      <c r="J1149" s="211"/>
      <c r="K1149" s="211"/>
      <c r="L1149" s="211"/>
      <c r="M1149" s="211"/>
      <c r="N1149" s="213"/>
    </row>
    <row r="1150" ht="18" hidden="1" customHeight="1" spans="1:14">
      <c r="A1150" s="207"/>
      <c r="B1150" s="210" t="s">
        <v>1823</v>
      </c>
      <c r="C1150" s="211">
        <v>5</v>
      </c>
      <c r="D1150" s="211">
        <f t="shared" si="45"/>
        <v>5</v>
      </c>
      <c r="E1150" s="211">
        <v>5</v>
      </c>
      <c r="F1150" s="211"/>
      <c r="G1150" s="211"/>
      <c r="H1150" s="211"/>
      <c r="I1150" s="211"/>
      <c r="J1150" s="211"/>
      <c r="K1150" s="211"/>
      <c r="L1150" s="211"/>
      <c r="M1150" s="211"/>
      <c r="N1150" s="213"/>
    </row>
    <row r="1151" ht="18" hidden="1" customHeight="1" spans="1:14">
      <c r="A1151" s="216">
        <v>818002</v>
      </c>
      <c r="B1151" s="210" t="s">
        <v>1992</v>
      </c>
      <c r="C1151" s="205">
        <v>22.4</v>
      </c>
      <c r="D1151" s="205">
        <f t="shared" si="45"/>
        <v>22.4</v>
      </c>
      <c r="E1151" s="205">
        <v>22.4</v>
      </c>
      <c r="F1151" s="205"/>
      <c r="G1151" s="205"/>
      <c r="H1151" s="205"/>
      <c r="I1151" s="205"/>
      <c r="J1151" s="205"/>
      <c r="K1151" s="205"/>
      <c r="L1151" s="205"/>
      <c r="M1151" s="205"/>
      <c r="N1151" s="213"/>
    </row>
    <row r="1152" ht="18" hidden="1" customHeight="1" spans="1:14">
      <c r="A1152" s="207"/>
      <c r="B1152" s="210" t="s">
        <v>1805</v>
      </c>
      <c r="C1152" s="211">
        <v>5.5</v>
      </c>
      <c r="D1152" s="211">
        <f t="shared" si="45"/>
        <v>5.5</v>
      </c>
      <c r="E1152" s="211">
        <v>5.5</v>
      </c>
      <c r="F1152" s="211"/>
      <c r="G1152" s="211"/>
      <c r="H1152" s="211"/>
      <c r="I1152" s="211"/>
      <c r="J1152" s="211"/>
      <c r="K1152" s="211"/>
      <c r="L1152" s="211"/>
      <c r="M1152" s="211"/>
      <c r="N1152" s="213"/>
    </row>
    <row r="1153" ht="18" hidden="1" customHeight="1" spans="1:14">
      <c r="A1153" s="207"/>
      <c r="B1153" s="210" t="s">
        <v>1806</v>
      </c>
      <c r="C1153" s="211">
        <v>16.9</v>
      </c>
      <c r="D1153" s="211">
        <f t="shared" si="45"/>
        <v>16.9</v>
      </c>
      <c r="E1153" s="211">
        <v>16.9</v>
      </c>
      <c r="F1153" s="211"/>
      <c r="G1153" s="211"/>
      <c r="H1153" s="211"/>
      <c r="I1153" s="211"/>
      <c r="J1153" s="211"/>
      <c r="K1153" s="211"/>
      <c r="L1153" s="211"/>
      <c r="M1153" s="211"/>
      <c r="N1153" s="213"/>
    </row>
    <row r="1154" ht="18" hidden="1" customHeight="1" spans="1:14">
      <c r="A1154" s="207"/>
      <c r="B1154" s="215" t="s">
        <v>972</v>
      </c>
      <c r="C1154" s="205">
        <f>C1155+C1158</f>
        <v>1442.03</v>
      </c>
      <c r="D1154" s="205">
        <f>D1155+D1158</f>
        <v>1442.03</v>
      </c>
      <c r="E1154" s="205">
        <f>E1155+E1158</f>
        <v>1442.03</v>
      </c>
      <c r="F1154" s="205"/>
      <c r="G1154" s="211"/>
      <c r="H1154" s="211"/>
      <c r="I1154" s="211"/>
      <c r="J1154" s="211"/>
      <c r="K1154" s="211"/>
      <c r="L1154" s="211"/>
      <c r="M1154" s="211"/>
      <c r="N1154" s="213"/>
    </row>
    <row r="1155" ht="18" hidden="1" customHeight="1" spans="1:14">
      <c r="A1155" s="216">
        <v>819002</v>
      </c>
      <c r="B1155" s="210" t="s">
        <v>1993</v>
      </c>
      <c r="C1155" s="205">
        <v>17.4</v>
      </c>
      <c r="D1155" s="205">
        <f t="shared" ref="D1155:D1161" si="46">E1155+F1155</f>
        <v>17.4</v>
      </c>
      <c r="E1155" s="205">
        <v>17.4</v>
      </c>
      <c r="F1155" s="205"/>
      <c r="G1155" s="205"/>
      <c r="H1155" s="205"/>
      <c r="I1155" s="205"/>
      <c r="J1155" s="205"/>
      <c r="K1155" s="205"/>
      <c r="L1155" s="205"/>
      <c r="M1155" s="205"/>
      <c r="N1155" s="213"/>
    </row>
    <row r="1156" ht="18" hidden="1" customHeight="1" spans="1:14">
      <c r="A1156" s="207"/>
      <c r="B1156" s="210" t="s">
        <v>1806</v>
      </c>
      <c r="C1156" s="211">
        <v>12.9</v>
      </c>
      <c r="D1156" s="211">
        <f t="shared" si="46"/>
        <v>12.9</v>
      </c>
      <c r="E1156" s="211">
        <v>12.9</v>
      </c>
      <c r="F1156" s="211"/>
      <c r="G1156" s="211"/>
      <c r="H1156" s="211"/>
      <c r="I1156" s="211"/>
      <c r="J1156" s="211"/>
      <c r="K1156" s="211"/>
      <c r="L1156" s="211"/>
      <c r="M1156" s="211"/>
      <c r="N1156" s="213"/>
    </row>
    <row r="1157" ht="18" hidden="1" customHeight="1" spans="1:14">
      <c r="A1157" s="207"/>
      <c r="B1157" s="210" t="s">
        <v>1805</v>
      </c>
      <c r="C1157" s="211">
        <v>4.5</v>
      </c>
      <c r="D1157" s="211">
        <f t="shared" si="46"/>
        <v>4.5</v>
      </c>
      <c r="E1157" s="211">
        <v>4.5</v>
      </c>
      <c r="F1157" s="211"/>
      <c r="G1157" s="211"/>
      <c r="H1157" s="211"/>
      <c r="I1157" s="211"/>
      <c r="J1157" s="211"/>
      <c r="K1157" s="211"/>
      <c r="L1157" s="211"/>
      <c r="M1157" s="211"/>
      <c r="N1157" s="213"/>
    </row>
    <row r="1158" ht="18" hidden="1" customHeight="1" spans="1:14">
      <c r="A1158" s="216">
        <v>819011</v>
      </c>
      <c r="B1158" s="210" t="s">
        <v>1994</v>
      </c>
      <c r="C1158" s="205">
        <v>1424.63</v>
      </c>
      <c r="D1158" s="205">
        <f t="shared" si="46"/>
        <v>1424.63</v>
      </c>
      <c r="E1158" s="205">
        <v>1424.63</v>
      </c>
      <c r="F1158" s="205"/>
      <c r="G1158" s="205"/>
      <c r="H1158" s="205"/>
      <c r="I1158" s="205"/>
      <c r="J1158" s="205"/>
      <c r="K1158" s="205"/>
      <c r="L1158" s="205"/>
      <c r="M1158" s="205"/>
      <c r="N1158" s="213"/>
    </row>
    <row r="1159" ht="18" hidden="1" customHeight="1" spans="1:14">
      <c r="A1159" s="207"/>
      <c r="B1159" s="210" t="s">
        <v>1822</v>
      </c>
      <c r="C1159" s="211">
        <v>3.06</v>
      </c>
      <c r="D1159" s="211">
        <f t="shared" si="46"/>
        <v>3.06</v>
      </c>
      <c r="E1159" s="211">
        <v>3.06</v>
      </c>
      <c r="F1159" s="211"/>
      <c r="G1159" s="211"/>
      <c r="H1159" s="211"/>
      <c r="I1159" s="211"/>
      <c r="J1159" s="211"/>
      <c r="K1159" s="211"/>
      <c r="L1159" s="211"/>
      <c r="M1159" s="211"/>
      <c r="N1159" s="213"/>
    </row>
    <row r="1160" ht="18" hidden="1" customHeight="1" spans="1:14">
      <c r="A1160" s="207"/>
      <c r="B1160" s="210" t="s">
        <v>1820</v>
      </c>
      <c r="C1160" s="211">
        <v>1408.08</v>
      </c>
      <c r="D1160" s="211">
        <f t="shared" si="46"/>
        <v>1408.08</v>
      </c>
      <c r="E1160" s="211">
        <v>1408.08</v>
      </c>
      <c r="F1160" s="211"/>
      <c r="G1160" s="211"/>
      <c r="H1160" s="211"/>
      <c r="I1160" s="211"/>
      <c r="J1160" s="211"/>
      <c r="K1160" s="211"/>
      <c r="L1160" s="211"/>
      <c r="M1160" s="211"/>
      <c r="N1160" s="213"/>
    </row>
    <row r="1161" ht="18" hidden="1" customHeight="1" spans="1:14">
      <c r="A1161" s="207"/>
      <c r="B1161" s="210" t="s">
        <v>1797</v>
      </c>
      <c r="C1161" s="211">
        <v>13.49</v>
      </c>
      <c r="D1161" s="211">
        <f t="shared" si="46"/>
        <v>13.49</v>
      </c>
      <c r="E1161" s="211">
        <v>13.49</v>
      </c>
      <c r="F1161" s="211"/>
      <c r="G1161" s="211"/>
      <c r="H1161" s="211"/>
      <c r="I1161" s="211"/>
      <c r="J1161" s="211"/>
      <c r="K1161" s="211"/>
      <c r="L1161" s="211"/>
      <c r="M1161" s="211"/>
      <c r="N1161" s="213"/>
    </row>
    <row r="1162" ht="18" hidden="1" customHeight="1" spans="1:14">
      <c r="A1162" s="207"/>
      <c r="B1162" s="215" t="s">
        <v>983</v>
      </c>
      <c r="C1162" s="205">
        <f t="shared" ref="C1162:F1162" si="47">C1163+C1178</f>
        <v>830.33</v>
      </c>
      <c r="D1162" s="205">
        <f t="shared" si="47"/>
        <v>830.33</v>
      </c>
      <c r="E1162" s="205">
        <f t="shared" si="47"/>
        <v>530.33</v>
      </c>
      <c r="F1162" s="205">
        <f t="shared" si="47"/>
        <v>300</v>
      </c>
      <c r="G1162" s="211"/>
      <c r="H1162" s="211"/>
      <c r="I1162" s="211"/>
      <c r="J1162" s="211"/>
      <c r="K1162" s="211"/>
      <c r="L1162" s="211"/>
      <c r="M1162" s="211"/>
      <c r="N1162" s="213"/>
    </row>
    <row r="1163" ht="18" hidden="1" customHeight="1" spans="1:14">
      <c r="A1163" s="216">
        <v>820001</v>
      </c>
      <c r="B1163" s="210" t="s">
        <v>1995</v>
      </c>
      <c r="C1163" s="205">
        <v>808.83</v>
      </c>
      <c r="D1163" s="205">
        <f t="shared" ref="D1163:D1180" si="48">E1163+F1163</f>
        <v>808.83</v>
      </c>
      <c r="E1163" s="205">
        <v>508.83</v>
      </c>
      <c r="F1163" s="205">
        <v>300</v>
      </c>
      <c r="G1163" s="205"/>
      <c r="H1163" s="205"/>
      <c r="I1163" s="205"/>
      <c r="J1163" s="205"/>
      <c r="K1163" s="205"/>
      <c r="L1163" s="205"/>
      <c r="M1163" s="205"/>
      <c r="N1163" s="213"/>
    </row>
    <row r="1164" ht="18" hidden="1" customHeight="1" spans="1:14">
      <c r="A1164" s="207"/>
      <c r="B1164" s="210" t="s">
        <v>1802</v>
      </c>
      <c r="C1164" s="211">
        <v>5</v>
      </c>
      <c r="D1164" s="211">
        <f t="shared" si="48"/>
        <v>5</v>
      </c>
      <c r="E1164" s="211">
        <v>5</v>
      </c>
      <c r="F1164" s="211"/>
      <c r="G1164" s="211"/>
      <c r="H1164" s="211"/>
      <c r="I1164" s="211"/>
      <c r="J1164" s="211"/>
      <c r="K1164" s="211"/>
      <c r="L1164" s="211"/>
      <c r="M1164" s="211"/>
      <c r="N1164" s="213"/>
    </row>
    <row r="1165" ht="18" hidden="1" customHeight="1" spans="1:14">
      <c r="A1165" s="207"/>
      <c r="B1165" s="210" t="s">
        <v>1996</v>
      </c>
      <c r="C1165" s="211">
        <v>100</v>
      </c>
      <c r="D1165" s="211">
        <f t="shared" si="48"/>
        <v>100</v>
      </c>
      <c r="E1165" s="211">
        <v>100</v>
      </c>
      <c r="F1165" s="211"/>
      <c r="G1165" s="211"/>
      <c r="H1165" s="211"/>
      <c r="I1165" s="211"/>
      <c r="J1165" s="211"/>
      <c r="K1165" s="211"/>
      <c r="L1165" s="211"/>
      <c r="M1165" s="211"/>
      <c r="N1165" s="213"/>
    </row>
    <row r="1166" ht="18" hidden="1" customHeight="1" spans="1:14">
      <c r="A1166" s="207"/>
      <c r="B1166" s="210" t="s">
        <v>1824</v>
      </c>
      <c r="C1166" s="211">
        <v>3.5</v>
      </c>
      <c r="D1166" s="211">
        <f t="shared" si="48"/>
        <v>3.5</v>
      </c>
      <c r="E1166" s="211">
        <v>3.5</v>
      </c>
      <c r="F1166" s="211"/>
      <c r="G1166" s="211"/>
      <c r="H1166" s="211"/>
      <c r="I1166" s="211"/>
      <c r="J1166" s="211"/>
      <c r="K1166" s="211"/>
      <c r="L1166" s="211"/>
      <c r="M1166" s="211"/>
      <c r="N1166" s="213"/>
    </row>
    <row r="1167" ht="18" hidden="1" customHeight="1" spans="1:14">
      <c r="A1167" s="207"/>
      <c r="B1167" s="210" t="s">
        <v>1892</v>
      </c>
      <c r="C1167" s="211">
        <v>35</v>
      </c>
      <c r="D1167" s="211">
        <f t="shared" si="48"/>
        <v>35</v>
      </c>
      <c r="E1167" s="211">
        <v>35</v>
      </c>
      <c r="F1167" s="211"/>
      <c r="G1167" s="211"/>
      <c r="H1167" s="211"/>
      <c r="I1167" s="211"/>
      <c r="J1167" s="211"/>
      <c r="K1167" s="211"/>
      <c r="L1167" s="211"/>
      <c r="M1167" s="211"/>
      <c r="N1167" s="213"/>
    </row>
    <row r="1168" ht="18" hidden="1" customHeight="1" spans="1:14">
      <c r="A1168" s="207"/>
      <c r="B1168" s="210" t="s">
        <v>1997</v>
      </c>
      <c r="C1168" s="211">
        <v>110</v>
      </c>
      <c r="D1168" s="211">
        <f t="shared" si="48"/>
        <v>110</v>
      </c>
      <c r="E1168" s="211">
        <v>110</v>
      </c>
      <c r="F1168" s="211"/>
      <c r="G1168" s="211"/>
      <c r="H1168" s="211"/>
      <c r="I1168" s="211"/>
      <c r="J1168" s="211"/>
      <c r="K1168" s="211"/>
      <c r="L1168" s="211"/>
      <c r="M1168" s="211"/>
      <c r="N1168" s="213"/>
    </row>
    <row r="1169" ht="18" hidden="1" customHeight="1" spans="1:14">
      <c r="A1169" s="207"/>
      <c r="B1169" s="210" t="s">
        <v>1998</v>
      </c>
      <c r="C1169" s="211">
        <v>3.5</v>
      </c>
      <c r="D1169" s="211">
        <f t="shared" si="48"/>
        <v>3.5</v>
      </c>
      <c r="E1169" s="211">
        <v>3.5</v>
      </c>
      <c r="F1169" s="211"/>
      <c r="G1169" s="211"/>
      <c r="H1169" s="211"/>
      <c r="I1169" s="211"/>
      <c r="J1169" s="211"/>
      <c r="K1169" s="211"/>
      <c r="L1169" s="211"/>
      <c r="M1169" s="211"/>
      <c r="N1169" s="213"/>
    </row>
    <row r="1170" ht="18" hidden="1" customHeight="1" spans="1:14">
      <c r="A1170" s="207"/>
      <c r="B1170" s="210" t="s">
        <v>1799</v>
      </c>
      <c r="C1170" s="211">
        <v>2.4</v>
      </c>
      <c r="D1170" s="211">
        <f t="shared" si="48"/>
        <v>2.4</v>
      </c>
      <c r="E1170" s="211">
        <v>2.4</v>
      </c>
      <c r="F1170" s="211"/>
      <c r="G1170" s="211"/>
      <c r="H1170" s="211"/>
      <c r="I1170" s="211"/>
      <c r="J1170" s="211"/>
      <c r="K1170" s="211"/>
      <c r="L1170" s="211"/>
      <c r="M1170" s="211"/>
      <c r="N1170" s="213"/>
    </row>
    <row r="1171" ht="18" hidden="1" customHeight="1" spans="1:14">
      <c r="A1171" s="207"/>
      <c r="B1171" s="210" t="s">
        <v>1822</v>
      </c>
      <c r="C1171" s="211">
        <v>0.72</v>
      </c>
      <c r="D1171" s="211">
        <f t="shared" si="48"/>
        <v>0.72</v>
      </c>
      <c r="E1171" s="211">
        <v>0.72</v>
      </c>
      <c r="F1171" s="211"/>
      <c r="G1171" s="211"/>
      <c r="H1171" s="211"/>
      <c r="I1171" s="211"/>
      <c r="J1171" s="211"/>
      <c r="K1171" s="211"/>
      <c r="L1171" s="211"/>
      <c r="M1171" s="211"/>
      <c r="N1171" s="213"/>
    </row>
    <row r="1172" ht="18" hidden="1" customHeight="1" spans="1:14">
      <c r="A1172" s="207"/>
      <c r="B1172" s="210" t="s">
        <v>1999</v>
      </c>
      <c r="C1172" s="211">
        <v>30</v>
      </c>
      <c r="D1172" s="211">
        <f t="shared" si="48"/>
        <v>30</v>
      </c>
      <c r="E1172" s="211">
        <v>30</v>
      </c>
      <c r="F1172" s="211"/>
      <c r="G1172" s="211"/>
      <c r="H1172" s="211"/>
      <c r="I1172" s="211"/>
      <c r="J1172" s="211"/>
      <c r="K1172" s="211"/>
      <c r="L1172" s="211"/>
      <c r="M1172" s="211"/>
      <c r="N1172" s="213"/>
    </row>
    <row r="1173" ht="18" hidden="1" customHeight="1" spans="1:14">
      <c r="A1173" s="207"/>
      <c r="B1173" s="210" t="s">
        <v>1820</v>
      </c>
      <c r="C1173" s="211">
        <v>27.7</v>
      </c>
      <c r="D1173" s="211">
        <f t="shared" si="48"/>
        <v>27.7</v>
      </c>
      <c r="E1173" s="211">
        <v>27.7</v>
      </c>
      <c r="F1173" s="211"/>
      <c r="G1173" s="211"/>
      <c r="H1173" s="211"/>
      <c r="I1173" s="211"/>
      <c r="J1173" s="211"/>
      <c r="K1173" s="211"/>
      <c r="L1173" s="211"/>
      <c r="M1173" s="211"/>
      <c r="N1173" s="213"/>
    </row>
    <row r="1174" ht="18" hidden="1" customHeight="1" spans="1:14">
      <c r="A1174" s="207"/>
      <c r="B1174" s="210" t="s">
        <v>2000</v>
      </c>
      <c r="C1174" s="211">
        <v>60.35</v>
      </c>
      <c r="D1174" s="211">
        <f t="shared" si="48"/>
        <v>60.35</v>
      </c>
      <c r="E1174" s="211">
        <v>60.35</v>
      </c>
      <c r="F1174" s="211"/>
      <c r="G1174" s="211"/>
      <c r="H1174" s="211"/>
      <c r="I1174" s="211"/>
      <c r="J1174" s="211"/>
      <c r="K1174" s="211"/>
      <c r="L1174" s="211"/>
      <c r="M1174" s="211"/>
      <c r="N1174" s="213"/>
    </row>
    <row r="1175" ht="18" hidden="1" customHeight="1" spans="1:14">
      <c r="A1175" s="207"/>
      <c r="B1175" s="210" t="s">
        <v>1797</v>
      </c>
      <c r="C1175" s="211">
        <v>2.66</v>
      </c>
      <c r="D1175" s="211">
        <f t="shared" si="48"/>
        <v>2.66</v>
      </c>
      <c r="E1175" s="211">
        <v>2.66</v>
      </c>
      <c r="F1175" s="211"/>
      <c r="G1175" s="211"/>
      <c r="H1175" s="211"/>
      <c r="I1175" s="211"/>
      <c r="J1175" s="211"/>
      <c r="K1175" s="211"/>
      <c r="L1175" s="211"/>
      <c r="M1175" s="211"/>
      <c r="N1175" s="213"/>
    </row>
    <row r="1176" ht="18" hidden="1" customHeight="1" spans="1:14">
      <c r="A1176" s="207"/>
      <c r="B1176" s="210" t="s">
        <v>2001</v>
      </c>
      <c r="C1176" s="211">
        <v>128</v>
      </c>
      <c r="D1176" s="211">
        <f t="shared" si="48"/>
        <v>128</v>
      </c>
      <c r="E1176" s="211">
        <v>128</v>
      </c>
      <c r="F1176" s="211"/>
      <c r="G1176" s="211"/>
      <c r="H1176" s="211"/>
      <c r="I1176" s="211"/>
      <c r="J1176" s="211"/>
      <c r="K1176" s="211"/>
      <c r="L1176" s="211"/>
      <c r="M1176" s="211"/>
      <c r="N1176" s="213"/>
    </row>
    <row r="1177" ht="18" hidden="1" customHeight="1" spans="1:14">
      <c r="A1177" s="207"/>
      <c r="B1177" s="210" t="s">
        <v>2002</v>
      </c>
      <c r="C1177" s="211">
        <v>300</v>
      </c>
      <c r="D1177" s="211">
        <f t="shared" si="48"/>
        <v>300</v>
      </c>
      <c r="E1177" s="211"/>
      <c r="F1177" s="211">
        <v>300</v>
      </c>
      <c r="G1177" s="211"/>
      <c r="H1177" s="211"/>
      <c r="I1177" s="211"/>
      <c r="J1177" s="211"/>
      <c r="K1177" s="211"/>
      <c r="L1177" s="211"/>
      <c r="M1177" s="211"/>
      <c r="N1177" s="213"/>
    </row>
    <row r="1178" ht="18" hidden="1" customHeight="1" spans="1:14">
      <c r="A1178" s="216">
        <v>820002</v>
      </c>
      <c r="B1178" s="217" t="s">
        <v>987</v>
      </c>
      <c r="C1178" s="205">
        <v>21.5</v>
      </c>
      <c r="D1178" s="205">
        <f t="shared" si="48"/>
        <v>21.5</v>
      </c>
      <c r="E1178" s="205">
        <v>21.5</v>
      </c>
      <c r="F1178" s="205"/>
      <c r="G1178" s="205"/>
      <c r="H1178" s="205"/>
      <c r="I1178" s="205"/>
      <c r="J1178" s="205"/>
      <c r="K1178" s="205"/>
      <c r="L1178" s="205"/>
      <c r="M1178" s="205"/>
      <c r="N1178" s="213"/>
    </row>
    <row r="1179" ht="18" hidden="1" customHeight="1" spans="1:14">
      <c r="A1179" s="207"/>
      <c r="B1179" s="210" t="s">
        <v>1805</v>
      </c>
      <c r="C1179" s="211">
        <v>4.5</v>
      </c>
      <c r="D1179" s="211">
        <f t="shared" si="48"/>
        <v>4.5</v>
      </c>
      <c r="E1179" s="211">
        <v>4.5</v>
      </c>
      <c r="F1179" s="211"/>
      <c r="G1179" s="211"/>
      <c r="H1179" s="211"/>
      <c r="I1179" s="211"/>
      <c r="J1179" s="211"/>
      <c r="K1179" s="211"/>
      <c r="L1179" s="211"/>
      <c r="M1179" s="211"/>
      <c r="N1179" s="213"/>
    </row>
    <row r="1180" ht="18" hidden="1" customHeight="1" spans="1:14">
      <c r="A1180" s="207"/>
      <c r="B1180" s="210" t="s">
        <v>1806</v>
      </c>
      <c r="C1180" s="211">
        <v>17</v>
      </c>
      <c r="D1180" s="211">
        <f t="shared" si="48"/>
        <v>17</v>
      </c>
      <c r="E1180" s="211">
        <v>17</v>
      </c>
      <c r="F1180" s="211"/>
      <c r="G1180" s="211"/>
      <c r="H1180" s="211"/>
      <c r="I1180" s="211"/>
      <c r="J1180" s="211"/>
      <c r="K1180" s="211"/>
      <c r="L1180" s="211"/>
      <c r="M1180" s="211"/>
      <c r="N1180" s="213"/>
    </row>
    <row r="1181" ht="18" hidden="1" customHeight="1" spans="1:14">
      <c r="A1181" s="207"/>
      <c r="B1181" s="215" t="s">
        <v>994</v>
      </c>
      <c r="C1181" s="205">
        <f t="shared" ref="C1181:F1181" si="49">C1182</f>
        <v>32595.5874</v>
      </c>
      <c r="D1181" s="205">
        <f t="shared" si="49"/>
        <v>32595.5874</v>
      </c>
      <c r="E1181" s="205">
        <f t="shared" si="49"/>
        <v>27595.5874</v>
      </c>
      <c r="F1181" s="205">
        <f t="shared" si="49"/>
        <v>5000</v>
      </c>
      <c r="G1181" s="211"/>
      <c r="H1181" s="211"/>
      <c r="I1181" s="211"/>
      <c r="J1181" s="211"/>
      <c r="K1181" s="211"/>
      <c r="L1181" s="211"/>
      <c r="M1181" s="211"/>
      <c r="N1181" s="213"/>
    </row>
    <row r="1182" ht="18" hidden="1" customHeight="1" spans="1:14">
      <c r="A1182" s="216">
        <v>821001</v>
      </c>
      <c r="B1182" s="217" t="s">
        <v>996</v>
      </c>
      <c r="C1182" s="205">
        <v>32595.5874</v>
      </c>
      <c r="D1182" s="205">
        <f t="shared" ref="D1182:D1219" si="50">E1182+F1182</f>
        <v>32595.5874</v>
      </c>
      <c r="E1182" s="205">
        <v>27595.5874</v>
      </c>
      <c r="F1182" s="205">
        <v>5000</v>
      </c>
      <c r="G1182" s="205"/>
      <c r="H1182" s="205"/>
      <c r="I1182" s="205"/>
      <c r="J1182" s="205"/>
      <c r="K1182" s="205"/>
      <c r="L1182" s="205"/>
      <c r="M1182" s="205"/>
      <c r="N1182" s="213"/>
    </row>
    <row r="1183" ht="18" hidden="1" customHeight="1" spans="1:14">
      <c r="A1183" s="209"/>
      <c r="B1183" s="210" t="s">
        <v>2003</v>
      </c>
      <c r="C1183" s="211">
        <v>5774.5</v>
      </c>
      <c r="D1183" s="211">
        <f t="shared" si="50"/>
        <v>5774.5</v>
      </c>
      <c r="E1183" s="211">
        <v>774.5</v>
      </c>
      <c r="F1183" s="211">
        <v>5000</v>
      </c>
      <c r="G1183" s="211"/>
      <c r="H1183" s="211"/>
      <c r="I1183" s="211"/>
      <c r="J1183" s="211"/>
      <c r="K1183" s="211"/>
      <c r="L1183" s="211"/>
      <c r="M1183" s="211"/>
      <c r="N1183" s="213"/>
    </row>
    <row r="1184" ht="18" hidden="1" customHeight="1" spans="1:14">
      <c r="A1184" s="209"/>
      <c r="B1184" s="210" t="s">
        <v>1821</v>
      </c>
      <c r="C1184" s="211">
        <v>5</v>
      </c>
      <c r="D1184" s="211">
        <f t="shared" si="50"/>
        <v>5</v>
      </c>
      <c r="E1184" s="211">
        <v>5</v>
      </c>
      <c r="F1184" s="211"/>
      <c r="G1184" s="211"/>
      <c r="H1184" s="211"/>
      <c r="I1184" s="211"/>
      <c r="J1184" s="211"/>
      <c r="K1184" s="211"/>
      <c r="L1184" s="211"/>
      <c r="M1184" s="211"/>
      <c r="N1184" s="213"/>
    </row>
    <row r="1185" ht="18" hidden="1" customHeight="1" spans="1:14">
      <c r="A1185" s="209"/>
      <c r="B1185" s="210" t="s">
        <v>2004</v>
      </c>
      <c r="C1185" s="211">
        <v>328.4</v>
      </c>
      <c r="D1185" s="211">
        <f t="shared" si="50"/>
        <v>328.4</v>
      </c>
      <c r="E1185" s="211">
        <v>328.4</v>
      </c>
      <c r="F1185" s="211"/>
      <c r="G1185" s="211"/>
      <c r="H1185" s="211"/>
      <c r="I1185" s="211"/>
      <c r="J1185" s="211"/>
      <c r="K1185" s="211"/>
      <c r="L1185" s="211"/>
      <c r="M1185" s="211"/>
      <c r="N1185" s="213"/>
    </row>
    <row r="1186" ht="18" hidden="1" customHeight="1" spans="1:14">
      <c r="A1186" s="209"/>
      <c r="B1186" s="210" t="s">
        <v>2005</v>
      </c>
      <c r="C1186" s="211">
        <v>621.5</v>
      </c>
      <c r="D1186" s="211">
        <f t="shared" si="50"/>
        <v>621.5</v>
      </c>
      <c r="E1186" s="211">
        <v>621.5</v>
      </c>
      <c r="F1186" s="211"/>
      <c r="G1186" s="211"/>
      <c r="H1186" s="211"/>
      <c r="I1186" s="211"/>
      <c r="J1186" s="211"/>
      <c r="K1186" s="211"/>
      <c r="L1186" s="211"/>
      <c r="M1186" s="211"/>
      <c r="N1186" s="213"/>
    </row>
    <row r="1187" ht="18" hidden="1" customHeight="1" spans="1:14">
      <c r="A1187" s="209"/>
      <c r="B1187" s="210" t="s">
        <v>2006</v>
      </c>
      <c r="C1187" s="211">
        <v>1400</v>
      </c>
      <c r="D1187" s="211">
        <f t="shared" si="50"/>
        <v>1400</v>
      </c>
      <c r="E1187" s="211">
        <v>1400</v>
      </c>
      <c r="F1187" s="211"/>
      <c r="G1187" s="211"/>
      <c r="H1187" s="211"/>
      <c r="I1187" s="211"/>
      <c r="J1187" s="211"/>
      <c r="K1187" s="211"/>
      <c r="L1187" s="211"/>
      <c r="M1187" s="211"/>
      <c r="N1187" s="213"/>
    </row>
    <row r="1188" ht="18" hidden="1" customHeight="1" spans="1:14">
      <c r="A1188" s="209"/>
      <c r="B1188" s="210" t="s">
        <v>2007</v>
      </c>
      <c r="C1188" s="211">
        <v>1600</v>
      </c>
      <c r="D1188" s="211">
        <f t="shared" si="50"/>
        <v>1600</v>
      </c>
      <c r="E1188" s="211">
        <v>1600</v>
      </c>
      <c r="F1188" s="211"/>
      <c r="G1188" s="211"/>
      <c r="H1188" s="211"/>
      <c r="I1188" s="211"/>
      <c r="J1188" s="211"/>
      <c r="K1188" s="211"/>
      <c r="L1188" s="211"/>
      <c r="M1188" s="211"/>
      <c r="N1188" s="213"/>
    </row>
    <row r="1189" ht="18" hidden="1" customHeight="1" spans="1:14">
      <c r="A1189" s="209"/>
      <c r="B1189" s="210" t="s">
        <v>2008</v>
      </c>
      <c r="C1189" s="211">
        <v>120</v>
      </c>
      <c r="D1189" s="211">
        <f t="shared" si="50"/>
        <v>120</v>
      </c>
      <c r="E1189" s="211">
        <v>120</v>
      </c>
      <c r="F1189" s="211"/>
      <c r="G1189" s="211"/>
      <c r="H1189" s="211"/>
      <c r="I1189" s="211"/>
      <c r="J1189" s="211"/>
      <c r="K1189" s="211"/>
      <c r="L1189" s="211"/>
      <c r="M1189" s="211"/>
      <c r="N1189" s="213"/>
    </row>
    <row r="1190" ht="18" hidden="1" customHeight="1" spans="1:14">
      <c r="A1190" s="209"/>
      <c r="B1190" s="210" t="s">
        <v>2009</v>
      </c>
      <c r="C1190" s="211">
        <v>1417.04</v>
      </c>
      <c r="D1190" s="211">
        <f t="shared" si="50"/>
        <v>1417.04</v>
      </c>
      <c r="E1190" s="211">
        <v>1417.04</v>
      </c>
      <c r="F1190" s="211"/>
      <c r="G1190" s="211"/>
      <c r="H1190" s="211"/>
      <c r="I1190" s="211"/>
      <c r="J1190" s="211"/>
      <c r="K1190" s="211"/>
      <c r="L1190" s="211"/>
      <c r="M1190" s="211"/>
      <c r="N1190" s="213"/>
    </row>
    <row r="1191" ht="18" hidden="1" customHeight="1" spans="1:14">
      <c r="A1191" s="209"/>
      <c r="B1191" s="210" t="s">
        <v>2010</v>
      </c>
      <c r="C1191" s="211">
        <v>93</v>
      </c>
      <c r="D1191" s="211">
        <f t="shared" si="50"/>
        <v>93</v>
      </c>
      <c r="E1191" s="211">
        <v>93</v>
      </c>
      <c r="F1191" s="211"/>
      <c r="G1191" s="211"/>
      <c r="H1191" s="211"/>
      <c r="I1191" s="211"/>
      <c r="J1191" s="211"/>
      <c r="K1191" s="211"/>
      <c r="L1191" s="211"/>
      <c r="M1191" s="211"/>
      <c r="N1191" s="213"/>
    </row>
    <row r="1192" ht="18" hidden="1" customHeight="1" spans="1:14">
      <c r="A1192" s="209"/>
      <c r="B1192" s="210" t="s">
        <v>2011</v>
      </c>
      <c r="C1192" s="211">
        <v>620</v>
      </c>
      <c r="D1192" s="211">
        <f t="shared" si="50"/>
        <v>620</v>
      </c>
      <c r="E1192" s="211">
        <v>620</v>
      </c>
      <c r="F1192" s="211"/>
      <c r="G1192" s="211"/>
      <c r="H1192" s="211"/>
      <c r="I1192" s="211"/>
      <c r="J1192" s="211"/>
      <c r="K1192" s="211"/>
      <c r="L1192" s="211"/>
      <c r="M1192" s="211"/>
      <c r="N1192" s="213"/>
    </row>
    <row r="1193" ht="18" hidden="1" customHeight="1" spans="1:14">
      <c r="A1193" s="209"/>
      <c r="B1193" s="210" t="s">
        <v>2012</v>
      </c>
      <c r="C1193" s="211">
        <v>400</v>
      </c>
      <c r="D1193" s="211">
        <f t="shared" si="50"/>
        <v>400</v>
      </c>
      <c r="E1193" s="211">
        <v>400</v>
      </c>
      <c r="F1193" s="211"/>
      <c r="G1193" s="211"/>
      <c r="H1193" s="211"/>
      <c r="I1193" s="211"/>
      <c r="J1193" s="211"/>
      <c r="K1193" s="211"/>
      <c r="L1193" s="211"/>
      <c r="M1193" s="211"/>
      <c r="N1193" s="213"/>
    </row>
    <row r="1194" ht="18" hidden="1" customHeight="1" spans="1:14">
      <c r="A1194" s="209"/>
      <c r="B1194" s="210" t="s">
        <v>2013</v>
      </c>
      <c r="C1194" s="211">
        <v>1275</v>
      </c>
      <c r="D1194" s="211">
        <f t="shared" si="50"/>
        <v>1275</v>
      </c>
      <c r="E1194" s="211">
        <v>1275</v>
      </c>
      <c r="F1194" s="211"/>
      <c r="G1194" s="211"/>
      <c r="H1194" s="211"/>
      <c r="I1194" s="211"/>
      <c r="J1194" s="211"/>
      <c r="K1194" s="211"/>
      <c r="L1194" s="211"/>
      <c r="M1194" s="211"/>
      <c r="N1194" s="213"/>
    </row>
    <row r="1195" ht="18" hidden="1" customHeight="1" spans="1:14">
      <c r="A1195" s="209"/>
      <c r="B1195" s="210" t="s">
        <v>2014</v>
      </c>
      <c r="C1195" s="211">
        <v>873</v>
      </c>
      <c r="D1195" s="211">
        <f t="shared" si="50"/>
        <v>873</v>
      </c>
      <c r="E1195" s="211">
        <v>873</v>
      </c>
      <c r="F1195" s="211"/>
      <c r="G1195" s="211"/>
      <c r="H1195" s="211"/>
      <c r="I1195" s="211"/>
      <c r="J1195" s="211"/>
      <c r="K1195" s="211"/>
      <c r="L1195" s="211"/>
      <c r="M1195" s="211"/>
      <c r="N1195" s="213"/>
    </row>
    <row r="1196" ht="18" hidden="1" customHeight="1" spans="1:14">
      <c r="A1196" s="209"/>
      <c r="B1196" s="210" t="s">
        <v>1684</v>
      </c>
      <c r="C1196" s="211">
        <v>985</v>
      </c>
      <c r="D1196" s="211">
        <f t="shared" si="50"/>
        <v>985</v>
      </c>
      <c r="E1196" s="211">
        <v>985</v>
      </c>
      <c r="F1196" s="211"/>
      <c r="G1196" s="211"/>
      <c r="H1196" s="211"/>
      <c r="I1196" s="211"/>
      <c r="J1196" s="211"/>
      <c r="K1196" s="211"/>
      <c r="L1196" s="211"/>
      <c r="M1196" s="211"/>
      <c r="N1196" s="213"/>
    </row>
    <row r="1197" ht="18" hidden="1" customHeight="1" spans="1:14">
      <c r="A1197" s="209"/>
      <c r="B1197" s="210" t="s">
        <v>2015</v>
      </c>
      <c r="C1197" s="211">
        <v>38</v>
      </c>
      <c r="D1197" s="211">
        <f t="shared" si="50"/>
        <v>38</v>
      </c>
      <c r="E1197" s="211">
        <v>38</v>
      </c>
      <c r="F1197" s="211"/>
      <c r="G1197" s="211"/>
      <c r="H1197" s="211"/>
      <c r="I1197" s="211"/>
      <c r="J1197" s="211"/>
      <c r="K1197" s="211"/>
      <c r="L1197" s="211"/>
      <c r="M1197" s="211"/>
      <c r="N1197" s="213"/>
    </row>
    <row r="1198" ht="18" hidden="1" customHeight="1" spans="1:14">
      <c r="A1198" s="209"/>
      <c r="B1198" s="210" t="s">
        <v>2016</v>
      </c>
      <c r="C1198" s="211">
        <v>397.5</v>
      </c>
      <c r="D1198" s="211">
        <f t="shared" si="50"/>
        <v>397.5</v>
      </c>
      <c r="E1198" s="211">
        <v>397.5</v>
      </c>
      <c r="F1198" s="211"/>
      <c r="G1198" s="211"/>
      <c r="H1198" s="211"/>
      <c r="I1198" s="211"/>
      <c r="J1198" s="211"/>
      <c r="K1198" s="211"/>
      <c r="L1198" s="211"/>
      <c r="M1198" s="211"/>
      <c r="N1198" s="213"/>
    </row>
    <row r="1199" ht="18" hidden="1" customHeight="1" spans="1:14">
      <c r="A1199" s="209"/>
      <c r="B1199" s="210" t="s">
        <v>1951</v>
      </c>
      <c r="C1199" s="211">
        <v>370</v>
      </c>
      <c r="D1199" s="211">
        <f t="shared" si="50"/>
        <v>370</v>
      </c>
      <c r="E1199" s="211">
        <v>370</v>
      </c>
      <c r="F1199" s="211"/>
      <c r="G1199" s="211"/>
      <c r="H1199" s="211"/>
      <c r="I1199" s="211"/>
      <c r="J1199" s="211"/>
      <c r="K1199" s="211"/>
      <c r="L1199" s="211"/>
      <c r="M1199" s="211"/>
      <c r="N1199" s="213"/>
    </row>
    <row r="1200" ht="18" hidden="1" customHeight="1" spans="1:14">
      <c r="A1200" s="209"/>
      <c r="B1200" s="210" t="s">
        <v>2017</v>
      </c>
      <c r="C1200" s="211">
        <v>629</v>
      </c>
      <c r="D1200" s="211">
        <f t="shared" si="50"/>
        <v>629</v>
      </c>
      <c r="E1200" s="211">
        <v>629</v>
      </c>
      <c r="F1200" s="211"/>
      <c r="G1200" s="211"/>
      <c r="H1200" s="211"/>
      <c r="I1200" s="211"/>
      <c r="J1200" s="211"/>
      <c r="K1200" s="211"/>
      <c r="L1200" s="211"/>
      <c r="M1200" s="211"/>
      <c r="N1200" s="213"/>
    </row>
    <row r="1201" ht="18" hidden="1" customHeight="1" spans="1:14">
      <c r="A1201" s="209"/>
      <c r="B1201" s="210" t="s">
        <v>2018</v>
      </c>
      <c r="C1201" s="211">
        <v>244.3</v>
      </c>
      <c r="D1201" s="211">
        <f t="shared" si="50"/>
        <v>244.3</v>
      </c>
      <c r="E1201" s="211">
        <v>244.3</v>
      </c>
      <c r="F1201" s="211"/>
      <c r="G1201" s="211"/>
      <c r="H1201" s="211"/>
      <c r="I1201" s="211"/>
      <c r="J1201" s="211"/>
      <c r="K1201" s="211"/>
      <c r="L1201" s="211"/>
      <c r="M1201" s="211"/>
      <c r="N1201" s="213"/>
    </row>
    <row r="1202" ht="18" hidden="1" customHeight="1" spans="1:14">
      <c r="A1202" s="209"/>
      <c r="B1202" s="210" t="s">
        <v>2019</v>
      </c>
      <c r="C1202" s="211">
        <v>1065</v>
      </c>
      <c r="D1202" s="211">
        <f t="shared" si="50"/>
        <v>1065</v>
      </c>
      <c r="E1202" s="211">
        <v>1065</v>
      </c>
      <c r="F1202" s="211"/>
      <c r="G1202" s="211"/>
      <c r="H1202" s="211"/>
      <c r="I1202" s="211"/>
      <c r="J1202" s="211"/>
      <c r="K1202" s="211"/>
      <c r="L1202" s="211"/>
      <c r="M1202" s="211"/>
      <c r="N1202" s="213"/>
    </row>
    <row r="1203" ht="18" hidden="1" customHeight="1" spans="1:14">
      <c r="A1203" s="209"/>
      <c r="B1203" s="210" t="s">
        <v>2020</v>
      </c>
      <c r="C1203" s="211">
        <v>2536.78</v>
      </c>
      <c r="D1203" s="211">
        <f t="shared" si="50"/>
        <v>2536.78</v>
      </c>
      <c r="E1203" s="211">
        <v>2536.78</v>
      </c>
      <c r="F1203" s="211"/>
      <c r="G1203" s="211"/>
      <c r="H1203" s="211"/>
      <c r="I1203" s="211"/>
      <c r="J1203" s="211"/>
      <c r="K1203" s="211"/>
      <c r="L1203" s="211"/>
      <c r="M1203" s="211"/>
      <c r="N1203" s="213"/>
    </row>
    <row r="1204" ht="18" hidden="1" customHeight="1" spans="1:14">
      <c r="A1204" s="209"/>
      <c r="B1204" s="210" t="s">
        <v>2021</v>
      </c>
      <c r="C1204" s="211">
        <v>1783.1</v>
      </c>
      <c r="D1204" s="211">
        <f t="shared" si="50"/>
        <v>1783.1</v>
      </c>
      <c r="E1204" s="211">
        <v>1783.1</v>
      </c>
      <c r="F1204" s="211"/>
      <c r="G1204" s="211"/>
      <c r="H1204" s="211"/>
      <c r="I1204" s="211"/>
      <c r="J1204" s="211"/>
      <c r="K1204" s="211"/>
      <c r="L1204" s="211"/>
      <c r="M1204" s="211"/>
      <c r="N1204" s="213"/>
    </row>
    <row r="1205" ht="18" hidden="1" customHeight="1" spans="1:14">
      <c r="A1205" s="209"/>
      <c r="B1205" s="210" t="s">
        <v>2022</v>
      </c>
      <c r="C1205" s="211">
        <v>10</v>
      </c>
      <c r="D1205" s="211">
        <f t="shared" si="50"/>
        <v>10</v>
      </c>
      <c r="E1205" s="211">
        <v>10</v>
      </c>
      <c r="F1205" s="211"/>
      <c r="G1205" s="211"/>
      <c r="H1205" s="211"/>
      <c r="I1205" s="211"/>
      <c r="J1205" s="211"/>
      <c r="K1205" s="211"/>
      <c r="L1205" s="211"/>
      <c r="M1205" s="211"/>
      <c r="N1205" s="213"/>
    </row>
    <row r="1206" ht="18" hidden="1" customHeight="1" spans="1:14">
      <c r="A1206" s="209"/>
      <c r="B1206" s="210" t="s">
        <v>2023</v>
      </c>
      <c r="C1206" s="211">
        <v>130</v>
      </c>
      <c r="D1206" s="211">
        <f t="shared" si="50"/>
        <v>130</v>
      </c>
      <c r="E1206" s="211">
        <v>130</v>
      </c>
      <c r="F1206" s="211"/>
      <c r="G1206" s="211"/>
      <c r="H1206" s="211"/>
      <c r="I1206" s="211"/>
      <c r="J1206" s="211"/>
      <c r="K1206" s="211"/>
      <c r="L1206" s="211"/>
      <c r="M1206" s="211"/>
      <c r="N1206" s="213"/>
    </row>
    <row r="1207" ht="18" hidden="1" customHeight="1" spans="1:14">
      <c r="A1207" s="209"/>
      <c r="B1207" s="210" t="s">
        <v>2024</v>
      </c>
      <c r="C1207" s="211">
        <v>94</v>
      </c>
      <c r="D1207" s="211">
        <f t="shared" si="50"/>
        <v>94</v>
      </c>
      <c r="E1207" s="211">
        <v>94</v>
      </c>
      <c r="F1207" s="211"/>
      <c r="G1207" s="211"/>
      <c r="H1207" s="211"/>
      <c r="I1207" s="211"/>
      <c r="J1207" s="211"/>
      <c r="K1207" s="211"/>
      <c r="L1207" s="211"/>
      <c r="M1207" s="211"/>
      <c r="N1207" s="213"/>
    </row>
    <row r="1208" ht="18" hidden="1" customHeight="1" spans="1:14">
      <c r="A1208" s="209"/>
      <c r="B1208" s="210" t="s">
        <v>2025</v>
      </c>
      <c r="C1208" s="211">
        <v>100</v>
      </c>
      <c r="D1208" s="211">
        <f t="shared" si="50"/>
        <v>100</v>
      </c>
      <c r="E1208" s="211">
        <v>100</v>
      </c>
      <c r="F1208" s="211"/>
      <c r="G1208" s="211"/>
      <c r="H1208" s="211"/>
      <c r="I1208" s="211"/>
      <c r="J1208" s="211"/>
      <c r="K1208" s="211"/>
      <c r="L1208" s="211"/>
      <c r="M1208" s="211"/>
      <c r="N1208" s="213"/>
    </row>
    <row r="1209" ht="18" hidden="1" customHeight="1" spans="1:14">
      <c r="A1209" s="209"/>
      <c r="B1209" s="210" t="s">
        <v>2026</v>
      </c>
      <c r="C1209" s="211">
        <v>980</v>
      </c>
      <c r="D1209" s="211">
        <f t="shared" si="50"/>
        <v>980</v>
      </c>
      <c r="E1209" s="211">
        <v>980</v>
      </c>
      <c r="F1209" s="211"/>
      <c r="G1209" s="211"/>
      <c r="H1209" s="211"/>
      <c r="I1209" s="211"/>
      <c r="J1209" s="211"/>
      <c r="K1209" s="211"/>
      <c r="L1209" s="211"/>
      <c r="M1209" s="211"/>
      <c r="N1209" s="213"/>
    </row>
    <row r="1210" ht="18" hidden="1" customHeight="1" spans="1:14">
      <c r="A1210" s="209"/>
      <c r="B1210" s="210" t="s">
        <v>2027</v>
      </c>
      <c r="C1210" s="211">
        <v>1443.8674</v>
      </c>
      <c r="D1210" s="211">
        <f t="shared" si="50"/>
        <v>1443.8674</v>
      </c>
      <c r="E1210" s="211">
        <v>1443.8674</v>
      </c>
      <c r="F1210" s="211"/>
      <c r="G1210" s="211"/>
      <c r="H1210" s="211"/>
      <c r="I1210" s="211"/>
      <c r="J1210" s="211"/>
      <c r="K1210" s="211"/>
      <c r="L1210" s="211"/>
      <c r="M1210" s="211"/>
      <c r="N1210" s="213"/>
    </row>
    <row r="1211" ht="18" hidden="1" customHeight="1" spans="1:14">
      <c r="A1211" s="209"/>
      <c r="B1211" s="210" t="s">
        <v>2028</v>
      </c>
      <c r="C1211" s="211">
        <v>652.2</v>
      </c>
      <c r="D1211" s="211">
        <f t="shared" si="50"/>
        <v>652.2</v>
      </c>
      <c r="E1211" s="211">
        <v>652.2</v>
      </c>
      <c r="F1211" s="211"/>
      <c r="G1211" s="211"/>
      <c r="H1211" s="211"/>
      <c r="I1211" s="211"/>
      <c r="J1211" s="211"/>
      <c r="K1211" s="211"/>
      <c r="L1211" s="211"/>
      <c r="M1211" s="211"/>
      <c r="N1211" s="213"/>
    </row>
    <row r="1212" ht="18" hidden="1" customHeight="1" spans="1:14">
      <c r="A1212" s="209"/>
      <c r="B1212" s="210" t="s">
        <v>2029</v>
      </c>
      <c r="C1212" s="211">
        <v>800</v>
      </c>
      <c r="D1212" s="211">
        <f t="shared" si="50"/>
        <v>800</v>
      </c>
      <c r="E1212" s="211">
        <v>800</v>
      </c>
      <c r="F1212" s="211"/>
      <c r="G1212" s="211"/>
      <c r="H1212" s="211"/>
      <c r="I1212" s="211"/>
      <c r="J1212" s="211"/>
      <c r="K1212" s="211"/>
      <c r="L1212" s="211"/>
      <c r="M1212" s="211"/>
      <c r="N1212" s="213"/>
    </row>
    <row r="1213" ht="18" hidden="1" customHeight="1" spans="1:14">
      <c r="A1213" s="209"/>
      <c r="B1213" s="210" t="s">
        <v>2030</v>
      </c>
      <c r="C1213" s="211">
        <v>2000</v>
      </c>
      <c r="D1213" s="211">
        <f t="shared" si="50"/>
        <v>2000</v>
      </c>
      <c r="E1213" s="211">
        <v>2000</v>
      </c>
      <c r="F1213" s="211"/>
      <c r="G1213" s="211"/>
      <c r="H1213" s="211"/>
      <c r="I1213" s="211"/>
      <c r="J1213" s="211"/>
      <c r="K1213" s="211"/>
      <c r="L1213" s="211"/>
      <c r="M1213" s="211"/>
      <c r="N1213" s="213"/>
    </row>
    <row r="1214" ht="18" hidden="1" customHeight="1" spans="1:14">
      <c r="A1214" s="209"/>
      <c r="B1214" s="210" t="s">
        <v>2031</v>
      </c>
      <c r="C1214" s="211">
        <v>162.5</v>
      </c>
      <c r="D1214" s="211">
        <f t="shared" si="50"/>
        <v>162.5</v>
      </c>
      <c r="E1214" s="211">
        <v>162.5</v>
      </c>
      <c r="F1214" s="211"/>
      <c r="G1214" s="211"/>
      <c r="H1214" s="211"/>
      <c r="I1214" s="211"/>
      <c r="J1214" s="211"/>
      <c r="K1214" s="211"/>
      <c r="L1214" s="211"/>
      <c r="M1214" s="211"/>
      <c r="N1214" s="213"/>
    </row>
    <row r="1215" ht="18" hidden="1" customHeight="1" spans="1:14">
      <c r="A1215" s="209"/>
      <c r="B1215" s="210" t="s">
        <v>2032</v>
      </c>
      <c r="C1215" s="211">
        <v>1230</v>
      </c>
      <c r="D1215" s="211">
        <f t="shared" si="50"/>
        <v>1230</v>
      </c>
      <c r="E1215" s="211">
        <v>1230</v>
      </c>
      <c r="F1215" s="211"/>
      <c r="G1215" s="211"/>
      <c r="H1215" s="211"/>
      <c r="I1215" s="211"/>
      <c r="J1215" s="211"/>
      <c r="K1215" s="211"/>
      <c r="L1215" s="211"/>
      <c r="M1215" s="211"/>
      <c r="N1215" s="213"/>
    </row>
    <row r="1216" ht="18" hidden="1" customHeight="1" spans="1:14">
      <c r="A1216" s="209"/>
      <c r="B1216" s="210" t="s">
        <v>2033</v>
      </c>
      <c r="C1216" s="211">
        <v>200</v>
      </c>
      <c r="D1216" s="211">
        <f t="shared" si="50"/>
        <v>200</v>
      </c>
      <c r="E1216" s="211">
        <v>200</v>
      </c>
      <c r="F1216" s="211"/>
      <c r="G1216" s="211"/>
      <c r="H1216" s="211"/>
      <c r="I1216" s="211"/>
      <c r="J1216" s="211"/>
      <c r="K1216" s="211"/>
      <c r="L1216" s="211"/>
      <c r="M1216" s="211"/>
      <c r="N1216" s="213"/>
    </row>
    <row r="1217" ht="18" hidden="1" customHeight="1" spans="1:14">
      <c r="A1217" s="209"/>
      <c r="B1217" s="210" t="s">
        <v>2034</v>
      </c>
      <c r="C1217" s="211">
        <v>273.9</v>
      </c>
      <c r="D1217" s="211">
        <f t="shared" si="50"/>
        <v>273.9</v>
      </c>
      <c r="E1217" s="211">
        <v>273.9</v>
      </c>
      <c r="F1217" s="211"/>
      <c r="G1217" s="211"/>
      <c r="H1217" s="211"/>
      <c r="I1217" s="211"/>
      <c r="J1217" s="211"/>
      <c r="K1217" s="211"/>
      <c r="L1217" s="211"/>
      <c r="M1217" s="211"/>
      <c r="N1217" s="213"/>
    </row>
    <row r="1218" ht="18" hidden="1" customHeight="1" spans="1:14">
      <c r="A1218" s="209"/>
      <c r="B1218" s="210" t="s">
        <v>2035</v>
      </c>
      <c r="C1218" s="211">
        <v>1053</v>
      </c>
      <c r="D1218" s="211">
        <f t="shared" si="50"/>
        <v>1053</v>
      </c>
      <c r="E1218" s="211">
        <v>1053</v>
      </c>
      <c r="F1218" s="211"/>
      <c r="G1218" s="211"/>
      <c r="H1218" s="211"/>
      <c r="I1218" s="211"/>
      <c r="J1218" s="211"/>
      <c r="K1218" s="211"/>
      <c r="L1218" s="211"/>
      <c r="M1218" s="211"/>
      <c r="N1218" s="213"/>
    </row>
    <row r="1219" ht="18" hidden="1" customHeight="1" spans="1:14">
      <c r="A1219" s="209"/>
      <c r="B1219" s="210" t="s">
        <v>2036</v>
      </c>
      <c r="C1219" s="211">
        <v>890</v>
      </c>
      <c r="D1219" s="211">
        <f t="shared" si="50"/>
        <v>890</v>
      </c>
      <c r="E1219" s="211">
        <v>890</v>
      </c>
      <c r="F1219" s="211"/>
      <c r="G1219" s="211"/>
      <c r="H1219" s="211"/>
      <c r="I1219" s="211"/>
      <c r="J1219" s="211"/>
      <c r="K1219" s="211"/>
      <c r="L1219" s="211"/>
      <c r="M1219" s="211"/>
      <c r="N1219" s="213"/>
    </row>
    <row r="1220" ht="18" customHeight="1" spans="1:14">
      <c r="A1220" s="206"/>
      <c r="B1220" s="214" t="s">
        <v>1003</v>
      </c>
      <c r="C1220" s="205">
        <f>C1221+C1229+C1231+C1246+C1260+C1263+C1277+C1285+C1293+C1297+C1299+C1306+C1308</f>
        <v>156718.64</v>
      </c>
      <c r="D1220" s="205">
        <f>D1221+D1229+D1231+D1246+D1260+D1263+D1277+D1285+D1293+D1297+D1299+D1306+D1308</f>
        <v>156718.64</v>
      </c>
      <c r="E1220" s="205">
        <f>E1221+E1229+E1231+E1246+E1260+E1263+E1277+E1285+E1293+E1297+E1299+E1306+E1308</f>
        <v>156618.64</v>
      </c>
      <c r="F1220" s="205">
        <f>F1221+F1229+F1231+F1246+F1260+F1263+F1277+F1285+F1293+F1297+F1299+F1306+F1308</f>
        <v>100</v>
      </c>
      <c r="G1220" s="205"/>
      <c r="H1220" s="205"/>
      <c r="I1220" s="205"/>
      <c r="J1220" s="205"/>
      <c r="K1220" s="205"/>
      <c r="L1220" s="205"/>
      <c r="M1220" s="205"/>
      <c r="N1220" s="213" t="s">
        <v>578</v>
      </c>
    </row>
    <row r="1221" ht="18" customHeight="1" spans="1:14">
      <c r="A1221" s="206"/>
      <c r="B1221" s="214" t="s">
        <v>2037</v>
      </c>
      <c r="C1221" s="205">
        <v>2751</v>
      </c>
      <c r="D1221" s="205">
        <f t="shared" ref="D1221:D1245" si="51">E1221+F1221</f>
        <v>2751</v>
      </c>
      <c r="E1221" s="205">
        <v>2751</v>
      </c>
      <c r="F1221" s="205"/>
      <c r="G1221" s="205"/>
      <c r="H1221" s="205"/>
      <c r="I1221" s="205"/>
      <c r="J1221" s="205"/>
      <c r="K1221" s="205"/>
      <c r="L1221" s="205"/>
      <c r="M1221" s="205"/>
      <c r="N1221" s="213" t="s">
        <v>578</v>
      </c>
    </row>
    <row r="1222" ht="18" customHeight="1" spans="1:14">
      <c r="A1222" s="209"/>
      <c r="B1222" s="210" t="s">
        <v>2038</v>
      </c>
      <c r="C1222" s="211">
        <v>150</v>
      </c>
      <c r="D1222" s="211">
        <f t="shared" si="51"/>
        <v>150</v>
      </c>
      <c r="E1222" s="211">
        <v>150</v>
      </c>
      <c r="F1222" s="211"/>
      <c r="G1222" s="211"/>
      <c r="H1222" s="211"/>
      <c r="I1222" s="211"/>
      <c r="J1222" s="211"/>
      <c r="K1222" s="211"/>
      <c r="L1222" s="211"/>
      <c r="M1222" s="211"/>
      <c r="N1222" s="213" t="s">
        <v>578</v>
      </c>
    </row>
    <row r="1223" ht="18" customHeight="1" spans="1:14">
      <c r="A1223" s="209"/>
      <c r="B1223" s="210" t="s">
        <v>2039</v>
      </c>
      <c r="C1223" s="211">
        <v>300</v>
      </c>
      <c r="D1223" s="211">
        <f t="shared" si="51"/>
        <v>300</v>
      </c>
      <c r="E1223" s="211">
        <v>300</v>
      </c>
      <c r="F1223" s="211"/>
      <c r="G1223" s="211"/>
      <c r="H1223" s="211"/>
      <c r="I1223" s="211"/>
      <c r="J1223" s="211"/>
      <c r="K1223" s="211"/>
      <c r="L1223" s="211"/>
      <c r="M1223" s="211"/>
      <c r="N1223" s="213" t="s">
        <v>578</v>
      </c>
    </row>
    <row r="1224" ht="18" customHeight="1" spans="1:14">
      <c r="A1224" s="209"/>
      <c r="B1224" s="210" t="s">
        <v>2040</v>
      </c>
      <c r="C1224" s="211">
        <v>140</v>
      </c>
      <c r="D1224" s="211">
        <f t="shared" si="51"/>
        <v>140</v>
      </c>
      <c r="E1224" s="211">
        <v>140</v>
      </c>
      <c r="F1224" s="211"/>
      <c r="G1224" s="211"/>
      <c r="H1224" s="211"/>
      <c r="I1224" s="211"/>
      <c r="J1224" s="211"/>
      <c r="K1224" s="211"/>
      <c r="L1224" s="211"/>
      <c r="M1224" s="211"/>
      <c r="N1224" s="213" t="s">
        <v>578</v>
      </c>
    </row>
    <row r="1225" ht="18" customHeight="1" spans="1:14">
      <c r="A1225" s="209"/>
      <c r="B1225" s="210" t="s">
        <v>2041</v>
      </c>
      <c r="C1225" s="211">
        <v>5</v>
      </c>
      <c r="D1225" s="211">
        <f t="shared" si="51"/>
        <v>5</v>
      </c>
      <c r="E1225" s="211">
        <v>5</v>
      </c>
      <c r="F1225" s="211"/>
      <c r="G1225" s="211"/>
      <c r="H1225" s="211"/>
      <c r="I1225" s="211"/>
      <c r="J1225" s="211"/>
      <c r="K1225" s="211"/>
      <c r="L1225" s="211"/>
      <c r="M1225" s="211"/>
      <c r="N1225" s="213" t="s">
        <v>578</v>
      </c>
    </row>
    <row r="1226" ht="18" customHeight="1" spans="1:14">
      <c r="A1226" s="209"/>
      <c r="B1226" s="210" t="s">
        <v>2042</v>
      </c>
      <c r="C1226" s="211">
        <v>48</v>
      </c>
      <c r="D1226" s="211">
        <f t="shared" si="51"/>
        <v>48</v>
      </c>
      <c r="E1226" s="211">
        <v>48</v>
      </c>
      <c r="F1226" s="211"/>
      <c r="G1226" s="211"/>
      <c r="H1226" s="211"/>
      <c r="I1226" s="211"/>
      <c r="J1226" s="211"/>
      <c r="K1226" s="211"/>
      <c r="L1226" s="211"/>
      <c r="M1226" s="211"/>
      <c r="N1226" s="213" t="s">
        <v>578</v>
      </c>
    </row>
    <row r="1227" ht="18" customHeight="1" spans="1:14">
      <c r="A1227" s="209"/>
      <c r="B1227" s="210" t="s">
        <v>2043</v>
      </c>
      <c r="C1227" s="211">
        <v>1800</v>
      </c>
      <c r="D1227" s="211">
        <f t="shared" si="51"/>
        <v>1800</v>
      </c>
      <c r="E1227" s="211">
        <v>1800</v>
      </c>
      <c r="F1227" s="211"/>
      <c r="G1227" s="211"/>
      <c r="H1227" s="211"/>
      <c r="I1227" s="211"/>
      <c r="J1227" s="211"/>
      <c r="K1227" s="211"/>
      <c r="L1227" s="211"/>
      <c r="M1227" s="211"/>
      <c r="N1227" s="213" t="s">
        <v>578</v>
      </c>
    </row>
    <row r="1228" ht="18" customHeight="1" spans="1:14">
      <c r="A1228" s="209"/>
      <c r="B1228" s="210" t="s">
        <v>2044</v>
      </c>
      <c r="C1228" s="211">
        <v>308</v>
      </c>
      <c r="D1228" s="211">
        <f t="shared" si="51"/>
        <v>308</v>
      </c>
      <c r="E1228" s="211">
        <v>308</v>
      </c>
      <c r="F1228" s="211"/>
      <c r="G1228" s="211"/>
      <c r="H1228" s="211"/>
      <c r="I1228" s="211"/>
      <c r="J1228" s="211"/>
      <c r="K1228" s="211"/>
      <c r="L1228" s="211"/>
      <c r="M1228" s="211"/>
      <c r="N1228" s="213" t="s">
        <v>578</v>
      </c>
    </row>
    <row r="1229" ht="18" customHeight="1" spans="1:14">
      <c r="A1229" s="206"/>
      <c r="B1229" s="214" t="s">
        <v>2045</v>
      </c>
      <c r="C1229" s="205">
        <v>15000</v>
      </c>
      <c r="D1229" s="205">
        <f t="shared" si="51"/>
        <v>15000</v>
      </c>
      <c r="E1229" s="205">
        <v>15000</v>
      </c>
      <c r="F1229" s="205"/>
      <c r="G1229" s="205"/>
      <c r="H1229" s="205"/>
      <c r="I1229" s="205"/>
      <c r="J1229" s="205"/>
      <c r="K1229" s="205"/>
      <c r="L1229" s="205"/>
      <c r="M1229" s="205"/>
      <c r="N1229" s="213" t="s">
        <v>578</v>
      </c>
    </row>
    <row r="1230" ht="18" customHeight="1" spans="1:14">
      <c r="A1230" s="209"/>
      <c r="B1230" s="210" t="s">
        <v>2046</v>
      </c>
      <c r="C1230" s="211">
        <v>15000</v>
      </c>
      <c r="D1230" s="211">
        <f t="shared" si="51"/>
        <v>15000</v>
      </c>
      <c r="E1230" s="211">
        <v>15000</v>
      </c>
      <c r="F1230" s="211"/>
      <c r="G1230" s="211"/>
      <c r="H1230" s="211"/>
      <c r="I1230" s="211"/>
      <c r="J1230" s="211"/>
      <c r="K1230" s="211"/>
      <c r="L1230" s="211"/>
      <c r="M1230" s="211"/>
      <c r="N1230" s="213" t="s">
        <v>578</v>
      </c>
    </row>
    <row r="1231" ht="18" customHeight="1" spans="1:14">
      <c r="A1231" s="206"/>
      <c r="B1231" s="214" t="s">
        <v>2047</v>
      </c>
      <c r="C1231" s="205">
        <v>36324</v>
      </c>
      <c r="D1231" s="205">
        <f t="shared" si="51"/>
        <v>36324</v>
      </c>
      <c r="E1231" s="205">
        <v>36324</v>
      </c>
      <c r="F1231" s="205"/>
      <c r="G1231" s="205"/>
      <c r="H1231" s="205"/>
      <c r="I1231" s="205"/>
      <c r="J1231" s="205"/>
      <c r="K1231" s="205"/>
      <c r="L1231" s="205"/>
      <c r="M1231" s="205"/>
      <c r="N1231" s="213" t="s">
        <v>578</v>
      </c>
    </row>
    <row r="1232" ht="18" customHeight="1" spans="1:14">
      <c r="A1232" s="209"/>
      <c r="B1232" s="210" t="s">
        <v>2048</v>
      </c>
      <c r="C1232" s="211">
        <v>7340</v>
      </c>
      <c r="D1232" s="211">
        <f t="shared" si="51"/>
        <v>7340</v>
      </c>
      <c r="E1232" s="211">
        <v>7340</v>
      </c>
      <c r="F1232" s="211"/>
      <c r="G1232" s="211"/>
      <c r="H1232" s="211"/>
      <c r="I1232" s="211"/>
      <c r="J1232" s="211"/>
      <c r="K1232" s="211"/>
      <c r="L1232" s="211"/>
      <c r="M1232" s="211"/>
      <c r="N1232" s="213" t="s">
        <v>578</v>
      </c>
    </row>
    <row r="1233" ht="18" customHeight="1" spans="1:14">
      <c r="A1233" s="209"/>
      <c r="B1233" s="210" t="s">
        <v>2049</v>
      </c>
      <c r="C1233" s="211">
        <v>1500</v>
      </c>
      <c r="D1233" s="211">
        <f t="shared" si="51"/>
        <v>1500</v>
      </c>
      <c r="E1233" s="211">
        <v>1500</v>
      </c>
      <c r="F1233" s="211"/>
      <c r="G1233" s="211"/>
      <c r="H1233" s="211"/>
      <c r="I1233" s="211"/>
      <c r="J1233" s="211"/>
      <c r="K1233" s="211"/>
      <c r="L1233" s="211"/>
      <c r="M1233" s="211"/>
      <c r="N1233" s="213" t="s">
        <v>578</v>
      </c>
    </row>
    <row r="1234" ht="18" customHeight="1" spans="1:14">
      <c r="A1234" s="209"/>
      <c r="B1234" s="210" t="s">
        <v>2050</v>
      </c>
      <c r="C1234" s="211">
        <v>8909</v>
      </c>
      <c r="D1234" s="211">
        <f t="shared" si="51"/>
        <v>8909</v>
      </c>
      <c r="E1234" s="211">
        <v>8909</v>
      </c>
      <c r="F1234" s="211"/>
      <c r="G1234" s="211"/>
      <c r="H1234" s="211"/>
      <c r="I1234" s="211"/>
      <c r="J1234" s="211"/>
      <c r="K1234" s="211"/>
      <c r="L1234" s="211"/>
      <c r="M1234" s="211"/>
      <c r="N1234" s="213" t="s">
        <v>578</v>
      </c>
    </row>
    <row r="1235" ht="18" customHeight="1" spans="1:14">
      <c r="A1235" s="209"/>
      <c r="B1235" s="210" t="s">
        <v>2051</v>
      </c>
      <c r="C1235" s="211">
        <v>650</v>
      </c>
      <c r="D1235" s="211">
        <f t="shared" si="51"/>
        <v>650</v>
      </c>
      <c r="E1235" s="211">
        <v>650</v>
      </c>
      <c r="F1235" s="211"/>
      <c r="G1235" s="211"/>
      <c r="H1235" s="211"/>
      <c r="I1235" s="211"/>
      <c r="J1235" s="211"/>
      <c r="K1235" s="211"/>
      <c r="L1235" s="211"/>
      <c r="M1235" s="211"/>
      <c r="N1235" s="213" t="s">
        <v>578</v>
      </c>
    </row>
    <row r="1236" ht="18" customHeight="1" spans="1:14">
      <c r="A1236" s="209"/>
      <c r="B1236" s="210" t="s">
        <v>2052</v>
      </c>
      <c r="C1236" s="211">
        <v>20</v>
      </c>
      <c r="D1236" s="211">
        <f t="shared" si="51"/>
        <v>20</v>
      </c>
      <c r="E1236" s="211">
        <v>20</v>
      </c>
      <c r="F1236" s="211"/>
      <c r="G1236" s="211"/>
      <c r="H1236" s="211"/>
      <c r="I1236" s="211"/>
      <c r="J1236" s="211"/>
      <c r="K1236" s="211"/>
      <c r="L1236" s="211"/>
      <c r="M1236" s="211"/>
      <c r="N1236" s="213" t="s">
        <v>578</v>
      </c>
    </row>
    <row r="1237" ht="18" customHeight="1" spans="1:14">
      <c r="A1237" s="209"/>
      <c r="B1237" s="210" t="s">
        <v>2053</v>
      </c>
      <c r="C1237" s="211">
        <v>1300</v>
      </c>
      <c r="D1237" s="211">
        <f t="shared" si="51"/>
        <v>1300</v>
      </c>
      <c r="E1237" s="211">
        <v>1300</v>
      </c>
      <c r="F1237" s="211"/>
      <c r="G1237" s="211"/>
      <c r="H1237" s="211"/>
      <c r="I1237" s="211"/>
      <c r="J1237" s="211"/>
      <c r="K1237" s="211"/>
      <c r="L1237" s="211"/>
      <c r="M1237" s="211"/>
      <c r="N1237" s="213" t="s">
        <v>578</v>
      </c>
    </row>
    <row r="1238" ht="18" customHeight="1" spans="1:14">
      <c r="A1238" s="209"/>
      <c r="B1238" s="210" t="s">
        <v>2054</v>
      </c>
      <c r="C1238" s="211">
        <v>200</v>
      </c>
      <c r="D1238" s="211">
        <f t="shared" si="51"/>
        <v>200</v>
      </c>
      <c r="E1238" s="211">
        <v>200</v>
      </c>
      <c r="F1238" s="211"/>
      <c r="G1238" s="211"/>
      <c r="H1238" s="211"/>
      <c r="I1238" s="211"/>
      <c r="J1238" s="211"/>
      <c r="K1238" s="211"/>
      <c r="L1238" s="211"/>
      <c r="M1238" s="211"/>
      <c r="N1238" s="213" t="s">
        <v>578</v>
      </c>
    </row>
    <row r="1239" ht="18" customHeight="1" spans="1:14">
      <c r="A1239" s="209"/>
      <c r="B1239" s="210" t="s">
        <v>2055</v>
      </c>
      <c r="C1239" s="211">
        <v>100</v>
      </c>
      <c r="D1239" s="211">
        <f t="shared" si="51"/>
        <v>100</v>
      </c>
      <c r="E1239" s="211">
        <v>100</v>
      </c>
      <c r="F1239" s="211"/>
      <c r="G1239" s="211"/>
      <c r="H1239" s="211"/>
      <c r="I1239" s="211"/>
      <c r="J1239" s="211"/>
      <c r="K1239" s="211"/>
      <c r="L1239" s="211"/>
      <c r="M1239" s="211"/>
      <c r="N1239" s="213" t="s">
        <v>578</v>
      </c>
    </row>
    <row r="1240" ht="18" customHeight="1" spans="1:14">
      <c r="A1240" s="209"/>
      <c r="B1240" s="210" t="s">
        <v>2056</v>
      </c>
      <c r="C1240" s="211">
        <v>3000</v>
      </c>
      <c r="D1240" s="211">
        <f t="shared" si="51"/>
        <v>3000</v>
      </c>
      <c r="E1240" s="211">
        <v>3000</v>
      </c>
      <c r="F1240" s="211"/>
      <c r="G1240" s="211"/>
      <c r="H1240" s="211"/>
      <c r="I1240" s="211"/>
      <c r="J1240" s="211"/>
      <c r="K1240" s="211"/>
      <c r="L1240" s="211"/>
      <c r="M1240" s="211"/>
      <c r="N1240" s="213" t="s">
        <v>578</v>
      </c>
    </row>
    <row r="1241" ht="18" customHeight="1" spans="1:14">
      <c r="A1241" s="209"/>
      <c r="B1241" s="210" t="s">
        <v>2057</v>
      </c>
      <c r="C1241" s="211">
        <v>2000</v>
      </c>
      <c r="D1241" s="211">
        <f t="shared" si="51"/>
        <v>2000</v>
      </c>
      <c r="E1241" s="211">
        <v>2000</v>
      </c>
      <c r="F1241" s="211"/>
      <c r="G1241" s="211"/>
      <c r="H1241" s="211"/>
      <c r="I1241" s="211"/>
      <c r="J1241" s="211"/>
      <c r="K1241" s="211"/>
      <c r="L1241" s="211"/>
      <c r="M1241" s="211"/>
      <c r="N1241" s="213" t="s">
        <v>578</v>
      </c>
    </row>
    <row r="1242" ht="18" customHeight="1" spans="1:14">
      <c r="A1242" s="209"/>
      <c r="B1242" s="210" t="s">
        <v>2058</v>
      </c>
      <c r="C1242" s="211">
        <v>10600</v>
      </c>
      <c r="D1242" s="211">
        <f t="shared" si="51"/>
        <v>10600</v>
      </c>
      <c r="E1242" s="211">
        <v>10600</v>
      </c>
      <c r="F1242" s="211"/>
      <c r="G1242" s="211"/>
      <c r="H1242" s="211"/>
      <c r="I1242" s="211"/>
      <c r="J1242" s="211"/>
      <c r="K1242" s="211"/>
      <c r="L1242" s="211"/>
      <c r="M1242" s="211"/>
      <c r="N1242" s="213" t="s">
        <v>578</v>
      </c>
    </row>
    <row r="1243" ht="18" customHeight="1" spans="1:14">
      <c r="A1243" s="209"/>
      <c r="B1243" s="210" t="s">
        <v>2059</v>
      </c>
      <c r="C1243" s="211">
        <v>660</v>
      </c>
      <c r="D1243" s="211">
        <f t="shared" si="51"/>
        <v>660</v>
      </c>
      <c r="E1243" s="211">
        <v>660</v>
      </c>
      <c r="F1243" s="211"/>
      <c r="G1243" s="211"/>
      <c r="H1243" s="211"/>
      <c r="I1243" s="211"/>
      <c r="J1243" s="211"/>
      <c r="K1243" s="211"/>
      <c r="L1243" s="211"/>
      <c r="M1243" s="211"/>
      <c r="N1243" s="213" t="s">
        <v>578</v>
      </c>
    </row>
    <row r="1244" ht="18" customHeight="1" spans="1:14">
      <c r="A1244" s="209"/>
      <c r="B1244" s="210" t="s">
        <v>2060</v>
      </c>
      <c r="C1244" s="211">
        <v>20</v>
      </c>
      <c r="D1244" s="211">
        <f t="shared" si="51"/>
        <v>20</v>
      </c>
      <c r="E1244" s="211">
        <v>20</v>
      </c>
      <c r="F1244" s="211"/>
      <c r="G1244" s="211"/>
      <c r="H1244" s="211"/>
      <c r="I1244" s="211"/>
      <c r="J1244" s="211"/>
      <c r="K1244" s="211"/>
      <c r="L1244" s="211"/>
      <c r="M1244" s="211"/>
      <c r="N1244" s="213" t="s">
        <v>578</v>
      </c>
    </row>
    <row r="1245" ht="18" customHeight="1" spans="1:14">
      <c r="A1245" s="209"/>
      <c r="B1245" s="210" t="s">
        <v>2061</v>
      </c>
      <c r="C1245" s="211">
        <v>25</v>
      </c>
      <c r="D1245" s="211">
        <f t="shared" si="51"/>
        <v>25</v>
      </c>
      <c r="E1245" s="211">
        <v>25</v>
      </c>
      <c r="F1245" s="211"/>
      <c r="G1245" s="211"/>
      <c r="H1245" s="211"/>
      <c r="I1245" s="211"/>
      <c r="J1245" s="211"/>
      <c r="K1245" s="211"/>
      <c r="L1245" s="211"/>
      <c r="M1245" s="211"/>
      <c r="N1245" s="213" t="s">
        <v>578</v>
      </c>
    </row>
    <row r="1246" ht="18" customHeight="1" spans="1:14">
      <c r="A1246" s="206"/>
      <c r="B1246" s="214" t="s">
        <v>2062</v>
      </c>
      <c r="C1246" s="205">
        <f>SUM(C1247:C1259)</f>
        <v>25250</v>
      </c>
      <c r="D1246" s="205">
        <f>SUM(D1247:D1259)</f>
        <v>25250</v>
      </c>
      <c r="E1246" s="205">
        <f>SUM(E1247:E1259)</f>
        <v>25150</v>
      </c>
      <c r="F1246" s="205">
        <f>SUM(F1247:F1259)</f>
        <v>100</v>
      </c>
      <c r="G1246" s="205"/>
      <c r="H1246" s="205"/>
      <c r="I1246" s="205"/>
      <c r="J1246" s="205"/>
      <c r="K1246" s="205"/>
      <c r="L1246" s="205"/>
      <c r="M1246" s="205"/>
      <c r="N1246" s="213" t="s">
        <v>578</v>
      </c>
    </row>
    <row r="1247" ht="18" customHeight="1" spans="1:14">
      <c r="A1247" s="209"/>
      <c r="B1247" s="210" t="s">
        <v>2063</v>
      </c>
      <c r="C1247" s="211">
        <v>800</v>
      </c>
      <c r="D1247" s="211">
        <f>E1247+F1247</f>
        <v>800</v>
      </c>
      <c r="E1247" s="211">
        <v>800</v>
      </c>
      <c r="F1247" s="211"/>
      <c r="G1247" s="211"/>
      <c r="H1247" s="211"/>
      <c r="I1247" s="211"/>
      <c r="J1247" s="211"/>
      <c r="K1247" s="211"/>
      <c r="L1247" s="211"/>
      <c r="M1247" s="211"/>
      <c r="N1247" s="213" t="s">
        <v>578</v>
      </c>
    </row>
    <row r="1248" ht="18" customHeight="1" spans="1:14">
      <c r="A1248" s="209"/>
      <c r="B1248" s="210" t="s">
        <v>2064</v>
      </c>
      <c r="C1248" s="211">
        <v>300</v>
      </c>
      <c r="D1248" s="211">
        <f>E1248+F1248</f>
        <v>300</v>
      </c>
      <c r="E1248" s="211">
        <v>300</v>
      </c>
      <c r="F1248" s="211"/>
      <c r="G1248" s="211"/>
      <c r="H1248" s="211"/>
      <c r="I1248" s="211"/>
      <c r="J1248" s="211"/>
      <c r="K1248" s="211"/>
      <c r="L1248" s="211"/>
      <c r="M1248" s="211"/>
      <c r="N1248" s="213" t="s">
        <v>578</v>
      </c>
    </row>
    <row r="1249" ht="18" customHeight="1" spans="1:14">
      <c r="A1249" s="209"/>
      <c r="B1249" s="210" t="s">
        <v>2065</v>
      </c>
      <c r="C1249" s="211">
        <v>1000</v>
      </c>
      <c r="D1249" s="211">
        <f>E1249+F1249</f>
        <v>1000</v>
      </c>
      <c r="E1249" s="211">
        <v>1000</v>
      </c>
      <c r="F1249" s="211"/>
      <c r="G1249" s="211"/>
      <c r="H1249" s="211"/>
      <c r="I1249" s="211"/>
      <c r="J1249" s="211"/>
      <c r="K1249" s="211"/>
      <c r="L1249" s="211"/>
      <c r="M1249" s="211"/>
      <c r="N1249" s="213" t="s">
        <v>578</v>
      </c>
    </row>
    <row r="1250" ht="18" customHeight="1" spans="1:14">
      <c r="A1250" s="209"/>
      <c r="B1250" s="210" t="s">
        <v>2066</v>
      </c>
      <c r="C1250" s="211">
        <v>100</v>
      </c>
      <c r="D1250" s="211">
        <f>E1250+F1250</f>
        <v>100</v>
      </c>
      <c r="E1250" s="211"/>
      <c r="F1250" s="211">
        <v>100</v>
      </c>
      <c r="G1250" s="211"/>
      <c r="H1250" s="211"/>
      <c r="I1250" s="211"/>
      <c r="J1250" s="211"/>
      <c r="K1250" s="211"/>
      <c r="L1250" s="211"/>
      <c r="M1250" s="211"/>
      <c r="N1250" s="213" t="s">
        <v>578</v>
      </c>
    </row>
    <row r="1251" ht="18" customHeight="1" spans="1:14">
      <c r="A1251" s="209"/>
      <c r="B1251" s="210" t="s">
        <v>2067</v>
      </c>
      <c r="C1251" s="211">
        <v>100</v>
      </c>
      <c r="D1251" s="211">
        <f>E1251+F1251</f>
        <v>100</v>
      </c>
      <c r="E1251" s="211">
        <v>100</v>
      </c>
      <c r="F1251" s="211"/>
      <c r="G1251" s="211"/>
      <c r="H1251" s="211"/>
      <c r="I1251" s="211"/>
      <c r="J1251" s="211"/>
      <c r="K1251" s="211"/>
      <c r="L1251" s="211"/>
      <c r="M1251" s="211"/>
      <c r="N1251" s="213" t="s">
        <v>578</v>
      </c>
    </row>
    <row r="1252" ht="18" customHeight="1" spans="1:14">
      <c r="A1252" s="209"/>
      <c r="B1252" s="210" t="s">
        <v>2068</v>
      </c>
      <c r="C1252" s="211">
        <v>1400</v>
      </c>
      <c r="D1252" s="211">
        <f t="shared" ref="D1252:D1282" si="52">E1252+F1252</f>
        <v>1400</v>
      </c>
      <c r="E1252" s="211">
        <v>1400</v>
      </c>
      <c r="F1252" s="211"/>
      <c r="G1252" s="211"/>
      <c r="H1252" s="211"/>
      <c r="I1252" s="211"/>
      <c r="J1252" s="211"/>
      <c r="K1252" s="211"/>
      <c r="L1252" s="211"/>
      <c r="M1252" s="211"/>
      <c r="N1252" s="213" t="s">
        <v>578</v>
      </c>
    </row>
    <row r="1253" ht="18" customHeight="1" spans="1:14">
      <c r="A1253" s="209"/>
      <c r="B1253" s="210" t="s">
        <v>2069</v>
      </c>
      <c r="C1253" s="211">
        <v>150</v>
      </c>
      <c r="D1253" s="211">
        <f t="shared" si="52"/>
        <v>150</v>
      </c>
      <c r="E1253" s="211">
        <v>150</v>
      </c>
      <c r="F1253" s="211"/>
      <c r="G1253" s="211"/>
      <c r="H1253" s="211"/>
      <c r="I1253" s="211"/>
      <c r="J1253" s="211"/>
      <c r="K1253" s="211"/>
      <c r="L1253" s="211"/>
      <c r="M1253" s="211"/>
      <c r="N1253" s="213" t="s">
        <v>578</v>
      </c>
    </row>
    <row r="1254" ht="18" customHeight="1" spans="1:14">
      <c r="A1254" s="209"/>
      <c r="B1254" s="210" t="s">
        <v>2070</v>
      </c>
      <c r="C1254" s="211">
        <v>1400</v>
      </c>
      <c r="D1254" s="211">
        <f t="shared" si="52"/>
        <v>1400</v>
      </c>
      <c r="E1254" s="211">
        <v>1400</v>
      </c>
      <c r="F1254" s="211"/>
      <c r="G1254" s="211"/>
      <c r="H1254" s="211"/>
      <c r="I1254" s="211"/>
      <c r="J1254" s="211"/>
      <c r="K1254" s="211"/>
      <c r="L1254" s="211"/>
      <c r="M1254" s="211"/>
      <c r="N1254" s="213" t="s">
        <v>578</v>
      </c>
    </row>
    <row r="1255" ht="18" customHeight="1" spans="1:14">
      <c r="A1255" s="209"/>
      <c r="B1255" s="210" t="s">
        <v>2071</v>
      </c>
      <c r="C1255" s="211">
        <v>3000</v>
      </c>
      <c r="D1255" s="211">
        <f t="shared" si="52"/>
        <v>3000</v>
      </c>
      <c r="E1255" s="211">
        <v>3000</v>
      </c>
      <c r="F1255" s="211"/>
      <c r="G1255" s="211"/>
      <c r="H1255" s="211"/>
      <c r="I1255" s="211"/>
      <c r="J1255" s="211"/>
      <c r="K1255" s="211"/>
      <c r="L1255" s="211"/>
      <c r="M1255" s="211"/>
      <c r="N1255" s="213" t="s">
        <v>578</v>
      </c>
    </row>
    <row r="1256" ht="18" customHeight="1" spans="1:14">
      <c r="A1256" s="209"/>
      <c r="B1256" s="210" t="s">
        <v>2072</v>
      </c>
      <c r="C1256" s="211">
        <v>300</v>
      </c>
      <c r="D1256" s="211">
        <f t="shared" si="52"/>
        <v>300</v>
      </c>
      <c r="E1256" s="211">
        <v>300</v>
      </c>
      <c r="F1256" s="211"/>
      <c r="G1256" s="211"/>
      <c r="H1256" s="211"/>
      <c r="I1256" s="211"/>
      <c r="J1256" s="211"/>
      <c r="K1256" s="211"/>
      <c r="L1256" s="211"/>
      <c r="M1256" s="211"/>
      <c r="N1256" s="213" t="s">
        <v>578</v>
      </c>
    </row>
    <row r="1257" ht="18" customHeight="1" spans="1:14">
      <c r="A1257" s="209"/>
      <c r="B1257" s="210" t="s">
        <v>2073</v>
      </c>
      <c r="C1257" s="211">
        <v>10000</v>
      </c>
      <c r="D1257" s="211">
        <f t="shared" si="52"/>
        <v>10000</v>
      </c>
      <c r="E1257" s="211">
        <v>10000</v>
      </c>
      <c r="F1257" s="211"/>
      <c r="G1257" s="211"/>
      <c r="H1257" s="211"/>
      <c r="I1257" s="211"/>
      <c r="J1257" s="211"/>
      <c r="K1257" s="211"/>
      <c r="L1257" s="211"/>
      <c r="M1257" s="211"/>
      <c r="N1257" s="213" t="s">
        <v>578</v>
      </c>
    </row>
    <row r="1258" ht="18" customHeight="1" spans="1:14">
      <c r="A1258" s="209"/>
      <c r="B1258" s="210" t="s">
        <v>2074</v>
      </c>
      <c r="C1258" s="211">
        <v>5500</v>
      </c>
      <c r="D1258" s="211">
        <f t="shared" si="52"/>
        <v>5500</v>
      </c>
      <c r="E1258" s="211">
        <v>5500</v>
      </c>
      <c r="F1258" s="211"/>
      <c r="G1258" s="211"/>
      <c r="H1258" s="211"/>
      <c r="I1258" s="211"/>
      <c r="J1258" s="211"/>
      <c r="K1258" s="211"/>
      <c r="L1258" s="211"/>
      <c r="M1258" s="211"/>
      <c r="N1258" s="213" t="s">
        <v>578</v>
      </c>
    </row>
    <row r="1259" ht="18" customHeight="1" spans="1:14">
      <c r="A1259" s="209"/>
      <c r="B1259" s="210" t="s">
        <v>2075</v>
      </c>
      <c r="C1259" s="211">
        <v>1200</v>
      </c>
      <c r="D1259" s="211">
        <f t="shared" si="52"/>
        <v>1200</v>
      </c>
      <c r="E1259" s="211">
        <v>1200</v>
      </c>
      <c r="F1259" s="211"/>
      <c r="G1259" s="211"/>
      <c r="H1259" s="211"/>
      <c r="I1259" s="211"/>
      <c r="J1259" s="211"/>
      <c r="K1259" s="211"/>
      <c r="L1259" s="211"/>
      <c r="M1259" s="211"/>
      <c r="N1259" s="213" t="s">
        <v>578</v>
      </c>
    </row>
    <row r="1260" ht="18" customHeight="1" spans="1:14">
      <c r="A1260" s="206"/>
      <c r="B1260" s="214" t="s">
        <v>2076</v>
      </c>
      <c r="C1260" s="205">
        <v>225.44</v>
      </c>
      <c r="D1260" s="205">
        <f t="shared" si="52"/>
        <v>225.44</v>
      </c>
      <c r="E1260" s="205">
        <v>225.44</v>
      </c>
      <c r="F1260" s="205"/>
      <c r="G1260" s="205"/>
      <c r="H1260" s="205"/>
      <c r="I1260" s="205"/>
      <c r="J1260" s="205"/>
      <c r="K1260" s="205"/>
      <c r="L1260" s="205"/>
      <c r="M1260" s="205"/>
      <c r="N1260" s="213" t="s">
        <v>578</v>
      </c>
    </row>
    <row r="1261" ht="18" customHeight="1" spans="1:14">
      <c r="A1261" s="209"/>
      <c r="B1261" s="210" t="s">
        <v>2077</v>
      </c>
      <c r="C1261" s="211">
        <v>199</v>
      </c>
      <c r="D1261" s="211">
        <f t="shared" si="52"/>
        <v>199</v>
      </c>
      <c r="E1261" s="211">
        <v>199</v>
      </c>
      <c r="F1261" s="211"/>
      <c r="G1261" s="211"/>
      <c r="H1261" s="211"/>
      <c r="I1261" s="211"/>
      <c r="J1261" s="211"/>
      <c r="K1261" s="211"/>
      <c r="L1261" s="211"/>
      <c r="M1261" s="211"/>
      <c r="N1261" s="213" t="s">
        <v>578</v>
      </c>
    </row>
    <row r="1262" ht="18" customHeight="1" spans="1:14">
      <c r="A1262" s="209"/>
      <c r="B1262" s="210" t="s">
        <v>2078</v>
      </c>
      <c r="C1262" s="211">
        <v>26.44</v>
      </c>
      <c r="D1262" s="211">
        <f t="shared" si="52"/>
        <v>26.44</v>
      </c>
      <c r="E1262" s="211">
        <v>26.44</v>
      </c>
      <c r="F1262" s="211"/>
      <c r="G1262" s="211"/>
      <c r="H1262" s="211"/>
      <c r="I1262" s="211"/>
      <c r="J1262" s="211"/>
      <c r="K1262" s="211"/>
      <c r="L1262" s="211"/>
      <c r="M1262" s="211"/>
      <c r="N1262" s="213" t="s">
        <v>578</v>
      </c>
    </row>
    <row r="1263" ht="18" customHeight="1" spans="1:14">
      <c r="A1263" s="206"/>
      <c r="B1263" s="214" t="s">
        <v>2079</v>
      </c>
      <c r="C1263" s="205">
        <v>16773</v>
      </c>
      <c r="D1263" s="205">
        <f t="shared" si="52"/>
        <v>16773</v>
      </c>
      <c r="E1263" s="205">
        <v>16773</v>
      </c>
      <c r="F1263" s="205"/>
      <c r="G1263" s="205"/>
      <c r="H1263" s="205"/>
      <c r="I1263" s="205"/>
      <c r="J1263" s="205"/>
      <c r="K1263" s="205"/>
      <c r="L1263" s="205"/>
      <c r="M1263" s="205"/>
      <c r="N1263" s="213" t="s">
        <v>578</v>
      </c>
    </row>
    <row r="1264" ht="18" customHeight="1" spans="1:14">
      <c r="A1264" s="209"/>
      <c r="B1264" s="210" t="s">
        <v>2080</v>
      </c>
      <c r="C1264" s="211">
        <v>390</v>
      </c>
      <c r="D1264" s="211">
        <f t="shared" si="52"/>
        <v>390</v>
      </c>
      <c r="E1264" s="211">
        <v>390</v>
      </c>
      <c r="F1264" s="211"/>
      <c r="G1264" s="211"/>
      <c r="H1264" s="211"/>
      <c r="I1264" s="211"/>
      <c r="J1264" s="211"/>
      <c r="K1264" s="211"/>
      <c r="L1264" s="211"/>
      <c r="M1264" s="211"/>
      <c r="N1264" s="213" t="s">
        <v>578</v>
      </c>
    </row>
    <row r="1265" ht="18" customHeight="1" spans="1:14">
      <c r="A1265" s="209"/>
      <c r="B1265" s="210" t="s">
        <v>2081</v>
      </c>
      <c r="C1265" s="211">
        <v>800</v>
      </c>
      <c r="D1265" s="211">
        <f t="shared" si="52"/>
        <v>800</v>
      </c>
      <c r="E1265" s="211">
        <v>800</v>
      </c>
      <c r="F1265" s="211"/>
      <c r="G1265" s="211"/>
      <c r="H1265" s="211"/>
      <c r="I1265" s="211"/>
      <c r="J1265" s="211"/>
      <c r="K1265" s="211"/>
      <c r="L1265" s="211"/>
      <c r="M1265" s="211"/>
      <c r="N1265" s="213" t="s">
        <v>578</v>
      </c>
    </row>
    <row r="1266" ht="18" customHeight="1" spans="1:14">
      <c r="A1266" s="209"/>
      <c r="B1266" s="210" t="s">
        <v>2082</v>
      </c>
      <c r="C1266" s="211">
        <v>400</v>
      </c>
      <c r="D1266" s="211">
        <f t="shared" si="52"/>
        <v>400</v>
      </c>
      <c r="E1266" s="211">
        <v>400</v>
      </c>
      <c r="F1266" s="211"/>
      <c r="G1266" s="211"/>
      <c r="H1266" s="211"/>
      <c r="I1266" s="211"/>
      <c r="J1266" s="211"/>
      <c r="K1266" s="211"/>
      <c r="L1266" s="211"/>
      <c r="M1266" s="211"/>
      <c r="N1266" s="213" t="s">
        <v>578</v>
      </c>
    </row>
    <row r="1267" ht="18" customHeight="1" spans="1:14">
      <c r="A1267" s="209"/>
      <c r="B1267" s="210" t="s">
        <v>2083</v>
      </c>
      <c r="C1267" s="211">
        <v>1500</v>
      </c>
      <c r="D1267" s="211">
        <f t="shared" si="52"/>
        <v>1500</v>
      </c>
      <c r="E1267" s="211">
        <v>1500</v>
      </c>
      <c r="F1267" s="211"/>
      <c r="G1267" s="211"/>
      <c r="H1267" s="211"/>
      <c r="I1267" s="211"/>
      <c r="J1267" s="211"/>
      <c r="K1267" s="211"/>
      <c r="L1267" s="211"/>
      <c r="M1267" s="211"/>
      <c r="N1267" s="213" t="s">
        <v>578</v>
      </c>
    </row>
    <row r="1268" ht="18" customHeight="1" spans="1:14">
      <c r="A1268" s="209"/>
      <c r="B1268" s="210" t="s">
        <v>2084</v>
      </c>
      <c r="C1268" s="211">
        <v>950</v>
      </c>
      <c r="D1268" s="211">
        <f t="shared" si="52"/>
        <v>950</v>
      </c>
      <c r="E1268" s="211">
        <v>950</v>
      </c>
      <c r="F1268" s="211"/>
      <c r="G1268" s="211"/>
      <c r="H1268" s="211"/>
      <c r="I1268" s="211"/>
      <c r="J1268" s="211"/>
      <c r="K1268" s="211"/>
      <c r="L1268" s="211"/>
      <c r="M1268" s="211"/>
      <c r="N1268" s="213" t="s">
        <v>578</v>
      </c>
    </row>
    <row r="1269" ht="18" customHeight="1" spans="1:14">
      <c r="A1269" s="209"/>
      <c r="B1269" s="210" t="s">
        <v>2085</v>
      </c>
      <c r="C1269" s="211">
        <v>813</v>
      </c>
      <c r="D1269" s="211">
        <f t="shared" si="52"/>
        <v>813</v>
      </c>
      <c r="E1269" s="211">
        <v>813</v>
      </c>
      <c r="F1269" s="211"/>
      <c r="G1269" s="211"/>
      <c r="H1269" s="211"/>
      <c r="I1269" s="211"/>
      <c r="J1269" s="211"/>
      <c r="K1269" s="211"/>
      <c r="L1269" s="211"/>
      <c r="M1269" s="211"/>
      <c r="N1269" s="213" t="s">
        <v>578</v>
      </c>
    </row>
    <row r="1270" ht="18" customHeight="1" spans="1:14">
      <c r="A1270" s="209"/>
      <c r="B1270" s="210" t="s">
        <v>2086</v>
      </c>
      <c r="C1270" s="211">
        <v>90</v>
      </c>
      <c r="D1270" s="211">
        <f t="shared" si="52"/>
        <v>90</v>
      </c>
      <c r="E1270" s="211">
        <v>90</v>
      </c>
      <c r="F1270" s="211"/>
      <c r="G1270" s="211"/>
      <c r="H1270" s="211"/>
      <c r="I1270" s="211"/>
      <c r="J1270" s="211"/>
      <c r="K1270" s="211"/>
      <c r="L1270" s="211"/>
      <c r="M1270" s="211"/>
      <c r="N1270" s="213" t="s">
        <v>578</v>
      </c>
    </row>
    <row r="1271" ht="18" customHeight="1" spans="1:14">
      <c r="A1271" s="209"/>
      <c r="B1271" s="210" t="s">
        <v>2087</v>
      </c>
      <c r="C1271" s="211">
        <v>340</v>
      </c>
      <c r="D1271" s="211">
        <f t="shared" si="52"/>
        <v>340</v>
      </c>
      <c r="E1271" s="211">
        <v>340</v>
      </c>
      <c r="F1271" s="211"/>
      <c r="G1271" s="211"/>
      <c r="H1271" s="211"/>
      <c r="I1271" s="211"/>
      <c r="J1271" s="211"/>
      <c r="K1271" s="211"/>
      <c r="L1271" s="211"/>
      <c r="M1271" s="211"/>
      <c r="N1271" s="213" t="s">
        <v>578</v>
      </c>
    </row>
    <row r="1272" ht="18" customHeight="1" spans="1:14">
      <c r="A1272" s="209"/>
      <c r="B1272" s="210" t="s">
        <v>2088</v>
      </c>
      <c r="C1272" s="211">
        <v>70</v>
      </c>
      <c r="D1272" s="211">
        <f t="shared" si="52"/>
        <v>70</v>
      </c>
      <c r="E1272" s="211">
        <v>70</v>
      </c>
      <c r="F1272" s="211"/>
      <c r="G1272" s="211"/>
      <c r="H1272" s="211"/>
      <c r="I1272" s="211"/>
      <c r="J1272" s="211"/>
      <c r="K1272" s="211"/>
      <c r="L1272" s="211"/>
      <c r="M1272" s="211"/>
      <c r="N1272" s="213" t="s">
        <v>578</v>
      </c>
    </row>
    <row r="1273" ht="18" customHeight="1" spans="1:14">
      <c r="A1273" s="209"/>
      <c r="B1273" s="210" t="s">
        <v>2089</v>
      </c>
      <c r="C1273" s="211">
        <v>1000</v>
      </c>
      <c r="D1273" s="211">
        <f t="shared" si="52"/>
        <v>1000</v>
      </c>
      <c r="E1273" s="211">
        <v>1000</v>
      </c>
      <c r="F1273" s="211"/>
      <c r="G1273" s="211"/>
      <c r="H1273" s="211"/>
      <c r="I1273" s="211"/>
      <c r="J1273" s="211"/>
      <c r="K1273" s="211"/>
      <c r="L1273" s="211"/>
      <c r="M1273" s="211"/>
      <c r="N1273" s="213" t="s">
        <v>578</v>
      </c>
    </row>
    <row r="1274" ht="18" customHeight="1" spans="1:14">
      <c r="A1274" s="209"/>
      <c r="B1274" s="210" t="s">
        <v>2090</v>
      </c>
      <c r="C1274" s="211">
        <v>10000</v>
      </c>
      <c r="D1274" s="211">
        <f t="shared" si="52"/>
        <v>10000</v>
      </c>
      <c r="E1274" s="211">
        <v>10000</v>
      </c>
      <c r="F1274" s="211"/>
      <c r="G1274" s="211"/>
      <c r="H1274" s="211"/>
      <c r="I1274" s="211"/>
      <c r="J1274" s="211"/>
      <c r="K1274" s="211"/>
      <c r="L1274" s="211"/>
      <c r="M1274" s="211"/>
      <c r="N1274" s="213" t="s">
        <v>578</v>
      </c>
    </row>
    <row r="1275" ht="18" customHeight="1" spans="1:14">
      <c r="A1275" s="209"/>
      <c r="B1275" s="210" t="s">
        <v>2091</v>
      </c>
      <c r="C1275" s="211">
        <v>400</v>
      </c>
      <c r="D1275" s="211">
        <f t="shared" si="52"/>
        <v>400</v>
      </c>
      <c r="E1275" s="211">
        <v>400</v>
      </c>
      <c r="F1275" s="211"/>
      <c r="G1275" s="211"/>
      <c r="H1275" s="211"/>
      <c r="I1275" s="211"/>
      <c r="J1275" s="211"/>
      <c r="K1275" s="211"/>
      <c r="L1275" s="211"/>
      <c r="M1275" s="211"/>
      <c r="N1275" s="213" t="s">
        <v>578</v>
      </c>
    </row>
    <row r="1276" ht="18" customHeight="1" spans="1:14">
      <c r="A1276" s="209"/>
      <c r="B1276" s="210" t="s">
        <v>2092</v>
      </c>
      <c r="C1276" s="211">
        <v>20</v>
      </c>
      <c r="D1276" s="211">
        <f t="shared" si="52"/>
        <v>20</v>
      </c>
      <c r="E1276" s="211">
        <v>20</v>
      </c>
      <c r="F1276" s="211"/>
      <c r="G1276" s="211"/>
      <c r="H1276" s="211"/>
      <c r="I1276" s="211"/>
      <c r="J1276" s="211"/>
      <c r="K1276" s="211"/>
      <c r="L1276" s="211"/>
      <c r="M1276" s="211"/>
      <c r="N1276" s="213" t="s">
        <v>578</v>
      </c>
    </row>
    <row r="1277" ht="18" customHeight="1" spans="1:14">
      <c r="A1277" s="206"/>
      <c r="B1277" s="214" t="s">
        <v>2093</v>
      </c>
      <c r="C1277" s="205">
        <v>1290.2</v>
      </c>
      <c r="D1277" s="205">
        <f t="shared" si="52"/>
        <v>1290.2</v>
      </c>
      <c r="E1277" s="205">
        <v>1290.2</v>
      </c>
      <c r="F1277" s="205"/>
      <c r="G1277" s="205"/>
      <c r="H1277" s="205"/>
      <c r="I1277" s="205"/>
      <c r="J1277" s="205"/>
      <c r="K1277" s="205"/>
      <c r="L1277" s="205"/>
      <c r="M1277" s="205"/>
      <c r="N1277" s="213" t="s">
        <v>578</v>
      </c>
    </row>
    <row r="1278" ht="18" customHeight="1" spans="1:14">
      <c r="A1278" s="209"/>
      <c r="B1278" s="210" t="s">
        <v>2094</v>
      </c>
      <c r="C1278" s="211">
        <v>300</v>
      </c>
      <c r="D1278" s="211">
        <f t="shared" si="52"/>
        <v>300</v>
      </c>
      <c r="E1278" s="211">
        <v>300</v>
      </c>
      <c r="F1278" s="211"/>
      <c r="G1278" s="211"/>
      <c r="H1278" s="211"/>
      <c r="I1278" s="211"/>
      <c r="J1278" s="211"/>
      <c r="K1278" s="211"/>
      <c r="L1278" s="211"/>
      <c r="M1278" s="211"/>
      <c r="N1278" s="213" t="s">
        <v>578</v>
      </c>
    </row>
    <row r="1279" ht="18" customHeight="1" spans="1:14">
      <c r="A1279" s="209"/>
      <c r="B1279" s="210" t="s">
        <v>2095</v>
      </c>
      <c r="C1279" s="211">
        <v>50</v>
      </c>
      <c r="D1279" s="211">
        <f t="shared" si="52"/>
        <v>50</v>
      </c>
      <c r="E1279" s="211">
        <v>50</v>
      </c>
      <c r="F1279" s="211"/>
      <c r="G1279" s="211"/>
      <c r="H1279" s="211"/>
      <c r="I1279" s="211"/>
      <c r="J1279" s="211"/>
      <c r="K1279" s="211"/>
      <c r="L1279" s="211"/>
      <c r="M1279" s="211"/>
      <c r="N1279" s="213" t="s">
        <v>578</v>
      </c>
    </row>
    <row r="1280" ht="18" customHeight="1" spans="1:14">
      <c r="A1280" s="209"/>
      <c r="B1280" s="210" t="s">
        <v>2096</v>
      </c>
      <c r="C1280" s="211">
        <v>300</v>
      </c>
      <c r="D1280" s="211">
        <f t="shared" si="52"/>
        <v>300</v>
      </c>
      <c r="E1280" s="211">
        <v>300</v>
      </c>
      <c r="F1280" s="211"/>
      <c r="G1280" s="211"/>
      <c r="H1280" s="211"/>
      <c r="I1280" s="211"/>
      <c r="J1280" s="211"/>
      <c r="K1280" s="211"/>
      <c r="L1280" s="211"/>
      <c r="M1280" s="211"/>
      <c r="N1280" s="213" t="s">
        <v>578</v>
      </c>
    </row>
    <row r="1281" ht="18" customHeight="1" spans="1:14">
      <c r="A1281" s="209"/>
      <c r="B1281" s="210" t="s">
        <v>2097</v>
      </c>
      <c r="C1281" s="211">
        <v>343.8</v>
      </c>
      <c r="D1281" s="211">
        <f t="shared" si="52"/>
        <v>343.8</v>
      </c>
      <c r="E1281" s="211">
        <v>343.8</v>
      </c>
      <c r="F1281" s="211"/>
      <c r="G1281" s="211"/>
      <c r="H1281" s="211"/>
      <c r="I1281" s="211"/>
      <c r="J1281" s="211"/>
      <c r="K1281" s="211"/>
      <c r="L1281" s="211"/>
      <c r="M1281" s="211"/>
      <c r="N1281" s="213" t="s">
        <v>578</v>
      </c>
    </row>
    <row r="1282" ht="18" customHeight="1" spans="1:14">
      <c r="A1282" s="209"/>
      <c r="B1282" s="210" t="s">
        <v>2098</v>
      </c>
      <c r="C1282" s="211">
        <v>200</v>
      </c>
      <c r="D1282" s="211">
        <f t="shared" si="52"/>
        <v>200</v>
      </c>
      <c r="E1282" s="211">
        <v>200</v>
      </c>
      <c r="F1282" s="211"/>
      <c r="G1282" s="211"/>
      <c r="H1282" s="211"/>
      <c r="I1282" s="211"/>
      <c r="J1282" s="211"/>
      <c r="K1282" s="211"/>
      <c r="L1282" s="211"/>
      <c r="M1282" s="211"/>
      <c r="N1282" s="213" t="s">
        <v>578</v>
      </c>
    </row>
    <row r="1283" ht="18" customHeight="1" spans="1:14">
      <c r="A1283" s="209"/>
      <c r="B1283" s="210" t="s">
        <v>2099</v>
      </c>
      <c r="C1283" s="211">
        <v>46.4</v>
      </c>
      <c r="D1283" s="211">
        <f t="shared" ref="D1283:D1310" si="53">E1283+F1283</f>
        <v>46.4</v>
      </c>
      <c r="E1283" s="211">
        <v>46.4</v>
      </c>
      <c r="F1283" s="211"/>
      <c r="G1283" s="211"/>
      <c r="H1283" s="211"/>
      <c r="I1283" s="211"/>
      <c r="J1283" s="211"/>
      <c r="K1283" s="211"/>
      <c r="L1283" s="211"/>
      <c r="M1283" s="211"/>
      <c r="N1283" s="213" t="s">
        <v>578</v>
      </c>
    </row>
    <row r="1284" ht="18" customHeight="1" spans="1:14">
      <c r="A1284" s="209"/>
      <c r="B1284" s="210" t="s">
        <v>2100</v>
      </c>
      <c r="C1284" s="211">
        <v>50</v>
      </c>
      <c r="D1284" s="211">
        <f t="shared" si="53"/>
        <v>50</v>
      </c>
      <c r="E1284" s="211">
        <v>50</v>
      </c>
      <c r="F1284" s="211"/>
      <c r="G1284" s="211"/>
      <c r="H1284" s="211"/>
      <c r="I1284" s="211"/>
      <c r="J1284" s="211"/>
      <c r="K1284" s="211"/>
      <c r="L1284" s="211"/>
      <c r="M1284" s="211"/>
      <c r="N1284" s="213" t="s">
        <v>578</v>
      </c>
    </row>
    <row r="1285" ht="18" customHeight="1" spans="1:14">
      <c r="A1285" s="206"/>
      <c r="B1285" s="214" t="s">
        <v>2101</v>
      </c>
      <c r="C1285" s="205">
        <v>37530</v>
      </c>
      <c r="D1285" s="205">
        <v>37530</v>
      </c>
      <c r="E1285" s="205">
        <v>37530</v>
      </c>
      <c r="F1285" s="205"/>
      <c r="G1285" s="205"/>
      <c r="H1285" s="205"/>
      <c r="I1285" s="205"/>
      <c r="J1285" s="205"/>
      <c r="K1285" s="205"/>
      <c r="L1285" s="205"/>
      <c r="M1285" s="205"/>
      <c r="N1285" s="213" t="s">
        <v>578</v>
      </c>
    </row>
    <row r="1286" ht="18" customHeight="1" spans="1:14">
      <c r="A1286" s="209"/>
      <c r="B1286" s="210" t="s">
        <v>2102</v>
      </c>
      <c r="C1286" s="211">
        <v>10000</v>
      </c>
      <c r="D1286" s="211">
        <f t="shared" si="53"/>
        <v>10000</v>
      </c>
      <c r="E1286" s="211">
        <v>10000</v>
      </c>
      <c r="F1286" s="211"/>
      <c r="G1286" s="211"/>
      <c r="H1286" s="211"/>
      <c r="I1286" s="211"/>
      <c r="J1286" s="211"/>
      <c r="K1286" s="211"/>
      <c r="L1286" s="211"/>
      <c r="M1286" s="211"/>
      <c r="N1286" s="213" t="s">
        <v>578</v>
      </c>
    </row>
    <row r="1287" ht="18" customHeight="1" spans="1:14">
      <c r="A1287" s="209"/>
      <c r="B1287" s="210" t="s">
        <v>2103</v>
      </c>
      <c r="C1287" s="211">
        <v>1500</v>
      </c>
      <c r="D1287" s="211">
        <f t="shared" si="53"/>
        <v>1500</v>
      </c>
      <c r="E1287" s="211">
        <v>1500</v>
      </c>
      <c r="F1287" s="211"/>
      <c r="G1287" s="211"/>
      <c r="H1287" s="211"/>
      <c r="I1287" s="211"/>
      <c r="J1287" s="211"/>
      <c r="K1287" s="211"/>
      <c r="L1287" s="211"/>
      <c r="M1287" s="211"/>
      <c r="N1287" s="213" t="s">
        <v>578</v>
      </c>
    </row>
    <row r="1288" ht="18" customHeight="1" spans="1:14">
      <c r="A1288" s="209"/>
      <c r="B1288" s="210" t="s">
        <v>2104</v>
      </c>
      <c r="C1288" s="211">
        <v>830</v>
      </c>
      <c r="D1288" s="211">
        <f t="shared" si="53"/>
        <v>830</v>
      </c>
      <c r="E1288" s="211">
        <v>830</v>
      </c>
      <c r="F1288" s="211"/>
      <c r="G1288" s="211"/>
      <c r="H1288" s="211"/>
      <c r="I1288" s="211"/>
      <c r="J1288" s="211"/>
      <c r="K1288" s="211"/>
      <c r="L1288" s="211"/>
      <c r="M1288" s="211"/>
      <c r="N1288" s="213" t="s">
        <v>578</v>
      </c>
    </row>
    <row r="1289" ht="18" customHeight="1" spans="1:14">
      <c r="A1289" s="209"/>
      <c r="B1289" s="210" t="s">
        <v>1886</v>
      </c>
      <c r="C1289" s="211">
        <v>3000</v>
      </c>
      <c r="D1289" s="211">
        <f t="shared" si="53"/>
        <v>3000</v>
      </c>
      <c r="E1289" s="211">
        <v>3000</v>
      </c>
      <c r="F1289" s="211"/>
      <c r="G1289" s="211"/>
      <c r="H1289" s="211"/>
      <c r="I1289" s="211"/>
      <c r="J1289" s="211"/>
      <c r="K1289" s="211"/>
      <c r="L1289" s="211"/>
      <c r="M1289" s="211"/>
      <c r="N1289" s="213" t="s">
        <v>578</v>
      </c>
    </row>
    <row r="1290" ht="18" customHeight="1" spans="1:14">
      <c r="A1290" s="209"/>
      <c r="B1290" s="210" t="s">
        <v>2105</v>
      </c>
      <c r="C1290" s="211">
        <v>20000</v>
      </c>
      <c r="D1290" s="211">
        <f t="shared" si="53"/>
        <v>20000</v>
      </c>
      <c r="E1290" s="211">
        <v>20000</v>
      </c>
      <c r="F1290" s="211"/>
      <c r="G1290" s="211"/>
      <c r="H1290" s="211"/>
      <c r="I1290" s="211"/>
      <c r="J1290" s="211"/>
      <c r="K1290" s="211"/>
      <c r="L1290" s="211"/>
      <c r="M1290" s="211"/>
      <c r="N1290" s="213" t="s">
        <v>578</v>
      </c>
    </row>
    <row r="1291" ht="18" customHeight="1" spans="1:14">
      <c r="A1291" s="209"/>
      <c r="B1291" s="210" t="s">
        <v>2106</v>
      </c>
      <c r="C1291" s="211">
        <v>200</v>
      </c>
      <c r="D1291" s="211">
        <f t="shared" si="53"/>
        <v>200</v>
      </c>
      <c r="E1291" s="211">
        <v>200</v>
      </c>
      <c r="F1291" s="211"/>
      <c r="G1291" s="211"/>
      <c r="H1291" s="211"/>
      <c r="I1291" s="211"/>
      <c r="J1291" s="211"/>
      <c r="K1291" s="211"/>
      <c r="L1291" s="211"/>
      <c r="M1291" s="211"/>
      <c r="N1291" s="213" t="s">
        <v>578</v>
      </c>
    </row>
    <row r="1292" ht="18" customHeight="1" spans="1:14">
      <c r="A1292" s="209"/>
      <c r="B1292" s="210" t="s">
        <v>2107</v>
      </c>
      <c r="C1292" s="211">
        <v>2000</v>
      </c>
      <c r="D1292" s="211">
        <f t="shared" si="53"/>
        <v>2000</v>
      </c>
      <c r="E1292" s="211">
        <v>2000</v>
      </c>
      <c r="F1292" s="211"/>
      <c r="G1292" s="211"/>
      <c r="H1292" s="211"/>
      <c r="I1292" s="211"/>
      <c r="J1292" s="211"/>
      <c r="K1292" s="211"/>
      <c r="L1292" s="211"/>
      <c r="M1292" s="211"/>
      <c r="N1292" s="213" t="s">
        <v>578</v>
      </c>
    </row>
    <row r="1293" ht="18" customHeight="1" spans="1:14">
      <c r="A1293" s="206"/>
      <c r="B1293" s="214" t="s">
        <v>2108</v>
      </c>
      <c r="C1293" s="205">
        <v>250</v>
      </c>
      <c r="D1293" s="205">
        <f t="shared" si="53"/>
        <v>250</v>
      </c>
      <c r="E1293" s="205">
        <v>250</v>
      </c>
      <c r="F1293" s="205"/>
      <c r="G1293" s="205"/>
      <c r="H1293" s="205"/>
      <c r="I1293" s="205"/>
      <c r="J1293" s="205"/>
      <c r="K1293" s="205"/>
      <c r="L1293" s="205"/>
      <c r="M1293" s="205"/>
      <c r="N1293" s="213" t="s">
        <v>578</v>
      </c>
    </row>
    <row r="1294" ht="18" customHeight="1" spans="1:14">
      <c r="A1294" s="209"/>
      <c r="B1294" s="210" t="s">
        <v>2109</v>
      </c>
      <c r="C1294" s="211">
        <v>35</v>
      </c>
      <c r="D1294" s="211">
        <f t="shared" si="53"/>
        <v>35</v>
      </c>
      <c r="E1294" s="211">
        <v>35</v>
      </c>
      <c r="F1294" s="211"/>
      <c r="G1294" s="211"/>
      <c r="H1294" s="211"/>
      <c r="I1294" s="211"/>
      <c r="J1294" s="211"/>
      <c r="K1294" s="211"/>
      <c r="L1294" s="211"/>
      <c r="M1294" s="211"/>
      <c r="N1294" s="213" t="s">
        <v>578</v>
      </c>
    </row>
    <row r="1295" ht="18" customHeight="1" spans="1:14">
      <c r="A1295" s="209"/>
      <c r="B1295" s="210" t="s">
        <v>2110</v>
      </c>
      <c r="C1295" s="211">
        <v>35</v>
      </c>
      <c r="D1295" s="211">
        <f t="shared" si="53"/>
        <v>35</v>
      </c>
      <c r="E1295" s="211">
        <v>35</v>
      </c>
      <c r="F1295" s="211"/>
      <c r="G1295" s="211"/>
      <c r="H1295" s="211"/>
      <c r="I1295" s="211"/>
      <c r="J1295" s="211"/>
      <c r="K1295" s="211"/>
      <c r="L1295" s="211"/>
      <c r="M1295" s="211"/>
      <c r="N1295" s="213" t="s">
        <v>578</v>
      </c>
    </row>
    <row r="1296" ht="18" customHeight="1" spans="1:14">
      <c r="A1296" s="209"/>
      <c r="B1296" s="210" t="s">
        <v>2111</v>
      </c>
      <c r="C1296" s="211">
        <v>180</v>
      </c>
      <c r="D1296" s="211">
        <f t="shared" si="53"/>
        <v>180</v>
      </c>
      <c r="E1296" s="211">
        <v>180</v>
      </c>
      <c r="F1296" s="211"/>
      <c r="G1296" s="211"/>
      <c r="H1296" s="211"/>
      <c r="I1296" s="211"/>
      <c r="J1296" s="211"/>
      <c r="K1296" s="211"/>
      <c r="L1296" s="211"/>
      <c r="M1296" s="211"/>
      <c r="N1296" s="213" t="s">
        <v>578</v>
      </c>
    </row>
    <row r="1297" ht="18" customHeight="1" spans="1:14">
      <c r="A1297" s="206"/>
      <c r="B1297" s="214" t="s">
        <v>2112</v>
      </c>
      <c r="C1297" s="205">
        <v>120</v>
      </c>
      <c r="D1297" s="205">
        <f t="shared" si="53"/>
        <v>120</v>
      </c>
      <c r="E1297" s="205">
        <v>120</v>
      </c>
      <c r="F1297" s="205"/>
      <c r="G1297" s="205"/>
      <c r="H1297" s="205"/>
      <c r="I1297" s="205"/>
      <c r="J1297" s="205"/>
      <c r="K1297" s="205"/>
      <c r="L1297" s="205"/>
      <c r="M1297" s="205"/>
      <c r="N1297" s="213" t="s">
        <v>578</v>
      </c>
    </row>
    <row r="1298" ht="18" customHeight="1" spans="1:14">
      <c r="A1298" s="209"/>
      <c r="B1298" s="210" t="s">
        <v>2113</v>
      </c>
      <c r="C1298" s="211">
        <v>120</v>
      </c>
      <c r="D1298" s="211">
        <f t="shared" si="53"/>
        <v>120</v>
      </c>
      <c r="E1298" s="211">
        <v>120</v>
      </c>
      <c r="F1298" s="211"/>
      <c r="G1298" s="211"/>
      <c r="H1298" s="211"/>
      <c r="I1298" s="211"/>
      <c r="J1298" s="211"/>
      <c r="K1298" s="211"/>
      <c r="L1298" s="211"/>
      <c r="M1298" s="211"/>
      <c r="N1298" s="213" t="s">
        <v>578</v>
      </c>
    </row>
    <row r="1299" ht="18" customHeight="1" spans="1:14">
      <c r="A1299" s="206"/>
      <c r="B1299" s="214" t="s">
        <v>2114</v>
      </c>
      <c r="C1299" s="205">
        <v>3656</v>
      </c>
      <c r="D1299" s="205">
        <f t="shared" si="53"/>
        <v>3656</v>
      </c>
      <c r="E1299" s="205">
        <v>3656</v>
      </c>
      <c r="F1299" s="205"/>
      <c r="G1299" s="205"/>
      <c r="H1299" s="205"/>
      <c r="I1299" s="205"/>
      <c r="J1299" s="205"/>
      <c r="K1299" s="205"/>
      <c r="L1299" s="205"/>
      <c r="M1299" s="205"/>
      <c r="N1299" s="213" t="s">
        <v>578</v>
      </c>
    </row>
    <row r="1300" ht="18" customHeight="1" spans="1:14">
      <c r="A1300" s="209"/>
      <c r="B1300" s="210" t="s">
        <v>2115</v>
      </c>
      <c r="C1300" s="211">
        <v>300</v>
      </c>
      <c r="D1300" s="211">
        <f t="shared" si="53"/>
        <v>300</v>
      </c>
      <c r="E1300" s="211">
        <v>300</v>
      </c>
      <c r="F1300" s="211"/>
      <c r="G1300" s="211"/>
      <c r="H1300" s="211"/>
      <c r="I1300" s="211"/>
      <c r="J1300" s="211"/>
      <c r="K1300" s="211"/>
      <c r="L1300" s="211"/>
      <c r="M1300" s="211"/>
      <c r="N1300" s="213" t="s">
        <v>578</v>
      </c>
    </row>
    <row r="1301" ht="18" customHeight="1" spans="1:14">
      <c r="A1301" s="209"/>
      <c r="B1301" s="210" t="s">
        <v>2116</v>
      </c>
      <c r="C1301" s="211">
        <v>1174</v>
      </c>
      <c r="D1301" s="211">
        <f t="shared" si="53"/>
        <v>1174</v>
      </c>
      <c r="E1301" s="211">
        <v>1174</v>
      </c>
      <c r="F1301" s="211"/>
      <c r="G1301" s="211"/>
      <c r="H1301" s="211"/>
      <c r="I1301" s="211"/>
      <c r="J1301" s="211"/>
      <c r="K1301" s="211"/>
      <c r="L1301" s="211"/>
      <c r="M1301" s="211"/>
      <c r="N1301" s="213" t="s">
        <v>578</v>
      </c>
    </row>
    <row r="1302" ht="18" customHeight="1" spans="1:14">
      <c r="A1302" s="209"/>
      <c r="B1302" s="210" t="s">
        <v>2117</v>
      </c>
      <c r="C1302" s="211">
        <v>1072</v>
      </c>
      <c r="D1302" s="211">
        <f t="shared" si="53"/>
        <v>1072</v>
      </c>
      <c r="E1302" s="211">
        <v>1072</v>
      </c>
      <c r="F1302" s="211"/>
      <c r="G1302" s="211"/>
      <c r="H1302" s="211"/>
      <c r="I1302" s="211"/>
      <c r="J1302" s="211"/>
      <c r="K1302" s="211"/>
      <c r="L1302" s="211"/>
      <c r="M1302" s="211"/>
      <c r="N1302" s="213" t="s">
        <v>578</v>
      </c>
    </row>
    <row r="1303" ht="18" customHeight="1" spans="1:14">
      <c r="A1303" s="209"/>
      <c r="B1303" s="210" t="s">
        <v>2118</v>
      </c>
      <c r="C1303" s="211">
        <v>400</v>
      </c>
      <c r="D1303" s="211">
        <f t="shared" si="53"/>
        <v>400</v>
      </c>
      <c r="E1303" s="211">
        <v>400</v>
      </c>
      <c r="F1303" s="211"/>
      <c r="G1303" s="211"/>
      <c r="H1303" s="211"/>
      <c r="I1303" s="211"/>
      <c r="J1303" s="211"/>
      <c r="K1303" s="211"/>
      <c r="L1303" s="211"/>
      <c r="M1303" s="211"/>
      <c r="N1303" s="213" t="s">
        <v>578</v>
      </c>
    </row>
    <row r="1304" ht="18" customHeight="1" spans="1:14">
      <c r="A1304" s="209"/>
      <c r="B1304" s="210" t="s">
        <v>2119</v>
      </c>
      <c r="C1304" s="211">
        <v>210</v>
      </c>
      <c r="D1304" s="211">
        <f t="shared" si="53"/>
        <v>210</v>
      </c>
      <c r="E1304" s="211">
        <v>210</v>
      </c>
      <c r="F1304" s="211"/>
      <c r="G1304" s="211"/>
      <c r="H1304" s="211"/>
      <c r="I1304" s="211"/>
      <c r="J1304" s="211"/>
      <c r="K1304" s="211"/>
      <c r="L1304" s="211"/>
      <c r="M1304" s="211"/>
      <c r="N1304" s="213" t="s">
        <v>578</v>
      </c>
    </row>
    <row r="1305" ht="18" customHeight="1" spans="1:14">
      <c r="A1305" s="209"/>
      <c r="B1305" s="210" t="s">
        <v>2120</v>
      </c>
      <c r="C1305" s="211">
        <v>500</v>
      </c>
      <c r="D1305" s="211">
        <f t="shared" si="53"/>
        <v>500</v>
      </c>
      <c r="E1305" s="211">
        <v>500</v>
      </c>
      <c r="F1305" s="211"/>
      <c r="G1305" s="211"/>
      <c r="H1305" s="211"/>
      <c r="I1305" s="211"/>
      <c r="J1305" s="211"/>
      <c r="K1305" s="211"/>
      <c r="L1305" s="211"/>
      <c r="M1305" s="211"/>
      <c r="N1305" s="213" t="s">
        <v>578</v>
      </c>
    </row>
    <row r="1306" ht="18" customHeight="1" spans="1:14">
      <c r="A1306" s="206"/>
      <c r="B1306" s="214" t="s">
        <v>2121</v>
      </c>
      <c r="C1306" s="205">
        <v>201</v>
      </c>
      <c r="D1306" s="205">
        <f t="shared" si="53"/>
        <v>201</v>
      </c>
      <c r="E1306" s="205">
        <v>201</v>
      </c>
      <c r="F1306" s="205"/>
      <c r="G1306" s="205"/>
      <c r="H1306" s="205"/>
      <c r="I1306" s="205"/>
      <c r="J1306" s="205"/>
      <c r="K1306" s="205"/>
      <c r="L1306" s="205"/>
      <c r="M1306" s="205"/>
      <c r="N1306" s="213" t="s">
        <v>578</v>
      </c>
    </row>
    <row r="1307" ht="18" customHeight="1" spans="1:14">
      <c r="A1307" s="209"/>
      <c r="B1307" s="210" t="s">
        <v>2122</v>
      </c>
      <c r="C1307" s="211">
        <v>201</v>
      </c>
      <c r="D1307" s="211">
        <f t="shared" si="53"/>
        <v>201</v>
      </c>
      <c r="E1307" s="211">
        <v>201</v>
      </c>
      <c r="F1307" s="211"/>
      <c r="G1307" s="211"/>
      <c r="H1307" s="211"/>
      <c r="I1307" s="211"/>
      <c r="J1307" s="211"/>
      <c r="K1307" s="211"/>
      <c r="L1307" s="211"/>
      <c r="M1307" s="211"/>
      <c r="N1307" s="213" t="s">
        <v>578</v>
      </c>
    </row>
    <row r="1308" ht="18" customHeight="1" spans="1:14">
      <c r="A1308" s="206"/>
      <c r="B1308" s="214" t="s">
        <v>2123</v>
      </c>
      <c r="C1308" s="205">
        <v>17348</v>
      </c>
      <c r="D1308" s="205">
        <f t="shared" si="53"/>
        <v>17348</v>
      </c>
      <c r="E1308" s="205">
        <v>17348</v>
      </c>
      <c r="F1308" s="205"/>
      <c r="G1308" s="205"/>
      <c r="H1308" s="205"/>
      <c r="I1308" s="205"/>
      <c r="J1308" s="205"/>
      <c r="K1308" s="205"/>
      <c r="L1308" s="205"/>
      <c r="M1308" s="205"/>
      <c r="N1308" s="213" t="s">
        <v>578</v>
      </c>
    </row>
    <row r="1309" ht="18" customHeight="1" spans="1:14">
      <c r="A1309" s="209"/>
      <c r="B1309" s="210" t="s">
        <v>2124</v>
      </c>
      <c r="C1309" s="211">
        <v>90</v>
      </c>
      <c r="D1309" s="211">
        <f t="shared" si="53"/>
        <v>90</v>
      </c>
      <c r="E1309" s="211">
        <v>90</v>
      </c>
      <c r="F1309" s="211"/>
      <c r="G1309" s="211"/>
      <c r="H1309" s="211"/>
      <c r="I1309" s="211"/>
      <c r="J1309" s="211"/>
      <c r="K1309" s="211"/>
      <c r="L1309" s="211"/>
      <c r="M1309" s="211"/>
      <c r="N1309" s="213" t="s">
        <v>578</v>
      </c>
    </row>
    <row r="1310" ht="18" customHeight="1" spans="1:14">
      <c r="A1310" s="209"/>
      <c r="B1310" s="210" t="s">
        <v>2125</v>
      </c>
      <c r="C1310" s="211">
        <v>17258</v>
      </c>
      <c r="D1310" s="211">
        <f t="shared" si="53"/>
        <v>17258</v>
      </c>
      <c r="E1310" s="211">
        <v>17258</v>
      </c>
      <c r="F1310" s="211"/>
      <c r="G1310" s="211"/>
      <c r="H1310" s="211"/>
      <c r="I1310" s="211"/>
      <c r="J1310" s="211"/>
      <c r="K1310" s="211"/>
      <c r="L1310" s="211"/>
      <c r="M1310" s="211"/>
      <c r="N1310" s="213" t="s">
        <v>578</v>
      </c>
    </row>
    <row r="1311" ht="18" customHeight="1" spans="1:14">
      <c r="A1311" s="203"/>
      <c r="B1311" s="214" t="s">
        <v>1017</v>
      </c>
      <c r="C1311" s="218">
        <v>26708</v>
      </c>
      <c r="D1311" s="218">
        <v>26708</v>
      </c>
      <c r="E1311" s="218">
        <v>26708</v>
      </c>
      <c r="F1311" s="205"/>
      <c r="G1311" s="205"/>
      <c r="H1311" s="205"/>
      <c r="I1311" s="205"/>
      <c r="J1311" s="205"/>
      <c r="K1311" s="205"/>
      <c r="L1311" s="205"/>
      <c r="M1311" s="205"/>
      <c r="N1311" s="213" t="s">
        <v>578</v>
      </c>
    </row>
    <row r="1312" ht="18" customHeight="1" spans="1:14">
      <c r="A1312" s="203"/>
      <c r="B1312" s="214" t="s">
        <v>1018</v>
      </c>
      <c r="C1312" s="218">
        <v>71559</v>
      </c>
      <c r="D1312" s="218">
        <v>71559</v>
      </c>
      <c r="E1312" s="218">
        <v>71559</v>
      </c>
      <c r="F1312" s="205"/>
      <c r="G1312" s="205"/>
      <c r="H1312" s="205"/>
      <c r="I1312" s="205"/>
      <c r="J1312" s="205"/>
      <c r="K1312" s="205"/>
      <c r="L1312" s="205"/>
      <c r="M1312" s="205"/>
      <c r="N1312" s="213" t="s">
        <v>578</v>
      </c>
    </row>
  </sheetData>
  <sheetProtection password="C70D" sheet="1" objects="1"/>
  <autoFilter ref="A5:N1312">
    <filterColumn colId="13">
      <customFilters>
        <customFilter operator="equal" val="是"/>
      </customFilters>
    </filterColumn>
    <extLst/>
  </autoFilter>
  <mergeCells count="7">
    <mergeCell ref="A2:M2"/>
    <mergeCell ref="D4:F4"/>
    <mergeCell ref="H4:M4"/>
    <mergeCell ref="A4:A5"/>
    <mergeCell ref="B4:B5"/>
    <mergeCell ref="C4:C5"/>
    <mergeCell ref="G4:G5"/>
  </mergeCells>
  <printOptions horizontalCentered="1"/>
  <pageMargins left="0.786805555555556" right="0.590277777777778" top="0.984027777777778" bottom="0.590277777777778" header="0.313888888888889" footer="0.313888888888889"/>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0"/>
  <sheetViews>
    <sheetView view="pageBreakPreview" zoomScaleNormal="100" topLeftCell="A10" workbookViewId="0">
      <selection activeCell="A2" sqref="A2:J2"/>
    </sheetView>
  </sheetViews>
  <sheetFormatPr defaultColWidth="9" defaultRowHeight="14.25"/>
  <cols>
    <col min="1" max="1" width="25.5" style="162" customWidth="1"/>
    <col min="2" max="2" width="9" style="162"/>
    <col min="3" max="3" width="23.5" style="162" customWidth="1"/>
    <col min="4" max="6" width="9" style="162"/>
    <col min="7" max="7" width="19.875" style="162" customWidth="1"/>
    <col min="8" max="16384" width="9" style="162"/>
  </cols>
  <sheetData>
    <row r="1" s="157" customFormat="1" ht="20.1" customHeight="1" spans="1:10">
      <c r="A1" s="163" t="s">
        <v>30</v>
      </c>
      <c r="B1" s="164"/>
      <c r="C1" s="163"/>
      <c r="D1" s="164"/>
      <c r="E1" s="165"/>
      <c r="F1" s="165"/>
      <c r="G1" s="164"/>
      <c r="H1" s="164"/>
      <c r="I1" s="164"/>
      <c r="J1" s="164"/>
    </row>
    <row r="2" s="158" customFormat="1" ht="27" customHeight="1" spans="1:10">
      <c r="A2" s="166" t="s">
        <v>2126</v>
      </c>
      <c r="B2" s="167"/>
      <c r="C2" s="166"/>
      <c r="D2" s="167"/>
      <c r="E2" s="168"/>
      <c r="F2" s="168"/>
      <c r="G2" s="167"/>
      <c r="H2" s="167"/>
      <c r="I2" s="167"/>
      <c r="J2" s="167"/>
    </row>
    <row r="3" s="159" customFormat="1" ht="15" spans="1:10">
      <c r="A3" s="169"/>
      <c r="B3" s="170"/>
      <c r="C3" s="169"/>
      <c r="D3" s="170"/>
      <c r="E3" s="171"/>
      <c r="F3" s="171"/>
      <c r="G3" s="170"/>
      <c r="H3" s="170"/>
      <c r="I3" s="170"/>
      <c r="J3" s="189" t="s">
        <v>45</v>
      </c>
    </row>
    <row r="4" s="160" customFormat="1" ht="20.1" customHeight="1" spans="1:10">
      <c r="A4" s="172" t="s">
        <v>2127</v>
      </c>
      <c r="B4" s="173"/>
      <c r="C4" s="172" t="s">
        <v>2128</v>
      </c>
      <c r="D4" s="173"/>
      <c r="E4" s="174"/>
      <c r="F4" s="174"/>
      <c r="G4" s="173"/>
      <c r="H4" s="173"/>
      <c r="I4" s="173"/>
      <c r="J4" s="173"/>
    </row>
    <row r="5" s="160" customFormat="1" ht="48" customHeight="1" spans="1:10">
      <c r="A5" s="175" t="s">
        <v>125</v>
      </c>
      <c r="B5" s="176" t="s">
        <v>2129</v>
      </c>
      <c r="C5" s="175" t="s">
        <v>2130</v>
      </c>
      <c r="D5" s="176" t="s">
        <v>568</v>
      </c>
      <c r="E5" s="177" t="s">
        <v>2131</v>
      </c>
      <c r="F5" s="177" t="s">
        <v>2132</v>
      </c>
      <c r="G5" s="176" t="s">
        <v>125</v>
      </c>
      <c r="H5" s="176" t="s">
        <v>568</v>
      </c>
      <c r="I5" s="176" t="s">
        <v>2131</v>
      </c>
      <c r="J5" s="176" t="s">
        <v>2133</v>
      </c>
    </row>
    <row r="6" ht="18" customHeight="1" spans="1:10">
      <c r="A6" s="178" t="s">
        <v>2134</v>
      </c>
      <c r="B6" s="179">
        <v>736849.068646</v>
      </c>
      <c r="C6" s="180" t="s">
        <v>2135</v>
      </c>
      <c r="D6" s="181">
        <f>E6+F6</f>
        <v>109094.090939</v>
      </c>
      <c r="E6" s="181">
        <v>105655.828169</v>
      </c>
      <c r="F6" s="181">
        <v>3438.26277</v>
      </c>
      <c r="G6" s="182" t="s">
        <v>2136</v>
      </c>
      <c r="H6" s="179">
        <f>H7+H10+H13</f>
        <v>736849.068646</v>
      </c>
      <c r="I6" s="179">
        <f>I7+I10+I13</f>
        <v>680520.745791</v>
      </c>
      <c r="J6" s="179">
        <f>J7+J10+J13</f>
        <v>56328.322855</v>
      </c>
    </row>
    <row r="7" ht="18" customHeight="1" spans="1:10">
      <c r="A7" s="183" t="s">
        <v>2137</v>
      </c>
      <c r="B7" s="181">
        <v>680520.745791</v>
      </c>
      <c r="C7" s="180" t="s">
        <v>2138</v>
      </c>
      <c r="D7" s="181">
        <f t="shared" ref="D7:D29" si="0">E7+F7</f>
        <v>31213.248569</v>
      </c>
      <c r="E7" s="181">
        <v>31213.248569</v>
      </c>
      <c r="F7" s="181"/>
      <c r="G7" s="184" t="s">
        <v>2139</v>
      </c>
      <c r="H7" s="181">
        <f t="shared" ref="H7:H14" si="1">I7+J7</f>
        <v>244086.593671</v>
      </c>
      <c r="I7" s="181">
        <v>241361.517702</v>
      </c>
      <c r="J7" s="181">
        <v>2725.075969</v>
      </c>
    </row>
    <row r="8" ht="18" customHeight="1" spans="1:10">
      <c r="A8" s="185" t="s">
        <v>567</v>
      </c>
      <c r="B8" s="181">
        <v>56328.322855</v>
      </c>
      <c r="C8" s="180" t="s">
        <v>2140</v>
      </c>
      <c r="D8" s="181">
        <f t="shared" si="0"/>
        <v>155819.679044</v>
      </c>
      <c r="E8" s="181">
        <v>152652.512044</v>
      </c>
      <c r="F8" s="181">
        <v>3167.167</v>
      </c>
      <c r="G8" s="184" t="s">
        <v>2141</v>
      </c>
      <c r="H8" s="181">
        <f t="shared" si="1"/>
        <v>227165.108367</v>
      </c>
      <c r="I8" s="181">
        <v>224564.173898</v>
      </c>
      <c r="J8" s="181">
        <v>2600.934469</v>
      </c>
    </row>
    <row r="9" ht="18" customHeight="1" spans="1:10">
      <c r="A9" s="186"/>
      <c r="B9" s="179"/>
      <c r="C9" s="180" t="s">
        <v>2142</v>
      </c>
      <c r="D9" s="181">
        <f t="shared" si="0"/>
        <v>19716.633114</v>
      </c>
      <c r="E9" s="181">
        <v>14666.633114</v>
      </c>
      <c r="F9" s="181">
        <v>5050</v>
      </c>
      <c r="G9" s="184" t="s">
        <v>2143</v>
      </c>
      <c r="H9" s="181">
        <f t="shared" si="1"/>
        <v>16921.485304</v>
      </c>
      <c r="I9" s="181">
        <v>16797.343804</v>
      </c>
      <c r="J9" s="181">
        <v>124.1415</v>
      </c>
    </row>
    <row r="10" ht="18" customHeight="1" spans="1:10">
      <c r="A10" s="186"/>
      <c r="B10" s="179"/>
      <c r="C10" s="180" t="s">
        <v>2144</v>
      </c>
      <c r="D10" s="181">
        <f t="shared" si="0"/>
        <v>11196.657965</v>
      </c>
      <c r="E10" s="181">
        <v>10401.278565</v>
      </c>
      <c r="F10" s="181">
        <v>795.3794</v>
      </c>
      <c r="G10" s="184" t="s">
        <v>2145</v>
      </c>
      <c r="H10" s="181">
        <f t="shared" si="1"/>
        <v>36626.044813</v>
      </c>
      <c r="I10" s="181">
        <v>36105.390731</v>
      </c>
      <c r="J10" s="181">
        <v>520.654082</v>
      </c>
    </row>
    <row r="11" ht="18" customHeight="1" spans="1:10">
      <c r="A11" s="186"/>
      <c r="B11" s="179"/>
      <c r="C11" s="180" t="s">
        <v>2146</v>
      </c>
      <c r="D11" s="181">
        <f t="shared" si="0"/>
        <v>86186</v>
      </c>
      <c r="E11" s="181">
        <v>84903</v>
      </c>
      <c r="F11" s="181">
        <v>1283</v>
      </c>
      <c r="G11" s="184" t="s">
        <v>2147</v>
      </c>
      <c r="H11" s="181">
        <f t="shared" si="1"/>
        <v>26473.624402</v>
      </c>
      <c r="I11" s="181">
        <v>26156.97032</v>
      </c>
      <c r="J11" s="181">
        <v>316.654082</v>
      </c>
    </row>
    <row r="12" ht="18" customHeight="1" spans="1:10">
      <c r="A12" s="186"/>
      <c r="B12" s="179"/>
      <c r="C12" s="180" t="s">
        <v>2148</v>
      </c>
      <c r="D12" s="181">
        <f t="shared" si="0"/>
        <v>34879.642987</v>
      </c>
      <c r="E12" s="181">
        <v>34327.642987</v>
      </c>
      <c r="F12" s="181">
        <v>552</v>
      </c>
      <c r="G12" s="184" t="s">
        <v>2149</v>
      </c>
      <c r="H12" s="181">
        <f t="shared" si="1"/>
        <v>10152.420411</v>
      </c>
      <c r="I12" s="181">
        <v>9948.420411</v>
      </c>
      <c r="J12" s="181">
        <v>204</v>
      </c>
    </row>
    <row r="13" ht="18" customHeight="1" spans="1:10">
      <c r="A13" s="186"/>
      <c r="B13" s="179"/>
      <c r="C13" s="180" t="s">
        <v>2150</v>
      </c>
      <c r="D13" s="181">
        <f t="shared" si="0"/>
        <v>10063.880711</v>
      </c>
      <c r="E13" s="181">
        <v>9983.880711</v>
      </c>
      <c r="F13" s="181">
        <v>80</v>
      </c>
      <c r="G13" s="184" t="s">
        <v>2151</v>
      </c>
      <c r="H13" s="181">
        <f t="shared" si="1"/>
        <v>456136.430162</v>
      </c>
      <c r="I13" s="181">
        <v>403053.837358</v>
      </c>
      <c r="J13" s="181">
        <v>53082.592804</v>
      </c>
    </row>
    <row r="14" ht="18" customHeight="1" spans="1:10">
      <c r="A14" s="186"/>
      <c r="B14" s="179"/>
      <c r="C14" s="180" t="s">
        <v>2152</v>
      </c>
      <c r="D14" s="181">
        <f t="shared" si="0"/>
        <v>82583.383566</v>
      </c>
      <c r="E14" s="181">
        <v>62460.569881</v>
      </c>
      <c r="F14" s="181">
        <v>20122.813685</v>
      </c>
      <c r="G14" s="184" t="s">
        <v>2153</v>
      </c>
      <c r="H14" s="181">
        <f t="shared" si="1"/>
        <v>456136.430162</v>
      </c>
      <c r="I14" s="181">
        <v>403053.837358</v>
      </c>
      <c r="J14" s="181">
        <v>53082.592804</v>
      </c>
    </row>
    <row r="15" ht="18" customHeight="1" spans="1:10">
      <c r="A15" s="186"/>
      <c r="B15" s="179"/>
      <c r="C15" s="180" t="s">
        <v>2154</v>
      </c>
      <c r="D15" s="181">
        <f t="shared" si="0"/>
        <v>73021.186912</v>
      </c>
      <c r="E15" s="181">
        <v>62108.486912</v>
      </c>
      <c r="F15" s="181">
        <v>10912.7</v>
      </c>
      <c r="G15" s="184" t="s">
        <v>2155</v>
      </c>
      <c r="H15" s="181"/>
      <c r="I15" s="181"/>
      <c r="J15" s="181"/>
    </row>
    <row r="16" ht="18" customHeight="1" spans="1:10">
      <c r="A16" s="186"/>
      <c r="B16" s="179"/>
      <c r="C16" s="180" t="s">
        <v>2156</v>
      </c>
      <c r="D16" s="181">
        <f t="shared" si="0"/>
        <v>23256.239602</v>
      </c>
      <c r="E16" s="181">
        <v>22307.239602</v>
      </c>
      <c r="F16" s="181">
        <v>949</v>
      </c>
      <c r="G16" s="187"/>
      <c r="H16" s="181"/>
      <c r="I16" s="181"/>
      <c r="J16" s="181"/>
    </row>
    <row r="17" ht="18" customHeight="1" spans="1:10">
      <c r="A17" s="186"/>
      <c r="B17" s="179"/>
      <c r="C17" s="180" t="s">
        <v>2157</v>
      </c>
      <c r="D17" s="181">
        <f t="shared" si="0"/>
        <v>20067.183602</v>
      </c>
      <c r="E17" s="181">
        <v>10247.183602</v>
      </c>
      <c r="F17" s="181">
        <v>9820</v>
      </c>
      <c r="G17" s="182" t="s">
        <v>2158</v>
      </c>
      <c r="H17" s="179">
        <f>SUM(H18:H27)</f>
        <v>736849.068646</v>
      </c>
      <c r="I17" s="179">
        <f>SUM(I18:I27)</f>
        <v>680520.745791</v>
      </c>
      <c r="J17" s="179">
        <f>SUM(J18:J27)</f>
        <v>56328.322855</v>
      </c>
    </row>
    <row r="18" ht="18" customHeight="1" spans="1:10">
      <c r="A18" s="186"/>
      <c r="B18" s="179"/>
      <c r="C18" s="180" t="s">
        <v>2159</v>
      </c>
      <c r="D18" s="181">
        <f t="shared" si="0"/>
        <v>1457.63359</v>
      </c>
      <c r="E18" s="181">
        <v>1457.63359</v>
      </c>
      <c r="F18" s="181"/>
      <c r="G18" s="184" t="s">
        <v>2160</v>
      </c>
      <c r="H18" s="181">
        <f>I18+J18</f>
        <v>274610.761926</v>
      </c>
      <c r="I18" s="181">
        <v>270015.827457</v>
      </c>
      <c r="J18" s="181">
        <v>4594.934469</v>
      </c>
    </row>
    <row r="19" ht="18" customHeight="1" spans="1:10">
      <c r="A19" s="186"/>
      <c r="B19" s="179"/>
      <c r="C19" s="180" t="s">
        <v>2161</v>
      </c>
      <c r="D19" s="181">
        <f t="shared" si="0"/>
        <v>250</v>
      </c>
      <c r="E19" s="181">
        <v>250</v>
      </c>
      <c r="F19" s="181"/>
      <c r="G19" s="184" t="s">
        <v>2162</v>
      </c>
      <c r="H19" s="181">
        <f t="shared" ref="H19:H27" si="2">I19+J19</f>
        <v>225448.986312</v>
      </c>
      <c r="I19" s="181">
        <v>195675.42223</v>
      </c>
      <c r="J19" s="181">
        <v>29773.564082</v>
      </c>
    </row>
    <row r="20" ht="18" customHeight="1" spans="1:10">
      <c r="A20" s="186"/>
      <c r="B20" s="179"/>
      <c r="C20" s="180" t="s">
        <v>2163</v>
      </c>
      <c r="D20" s="181">
        <f t="shared" si="0"/>
        <v>830</v>
      </c>
      <c r="E20" s="181">
        <v>830</v>
      </c>
      <c r="F20" s="181"/>
      <c r="G20" s="184" t="s">
        <v>2164</v>
      </c>
      <c r="H20" s="181">
        <f t="shared" si="2"/>
        <v>63528.722704</v>
      </c>
      <c r="I20" s="181">
        <f>67486.881204-4112</f>
        <v>63374.881204</v>
      </c>
      <c r="J20" s="181">
        <v>153.8415</v>
      </c>
    </row>
    <row r="21" ht="18" customHeight="1" spans="1:10">
      <c r="A21" s="186"/>
      <c r="B21" s="179"/>
      <c r="C21" s="180" t="s">
        <v>2165</v>
      </c>
      <c r="D21" s="181">
        <f t="shared" si="0"/>
        <v>12496.62314</v>
      </c>
      <c r="E21" s="181">
        <v>12496.62314</v>
      </c>
      <c r="F21" s="181"/>
      <c r="G21" s="184" t="s">
        <v>2166</v>
      </c>
      <c r="H21" s="181">
        <f t="shared" si="2"/>
        <v>18271</v>
      </c>
      <c r="I21" s="181">
        <v>18271</v>
      </c>
      <c r="J21" s="181"/>
    </row>
    <row r="22" ht="18" customHeight="1" spans="1:10">
      <c r="A22" s="186"/>
      <c r="B22" s="179"/>
      <c r="C22" s="180" t="s">
        <v>2167</v>
      </c>
      <c r="D22" s="181">
        <f t="shared" si="0"/>
        <v>7703.4</v>
      </c>
      <c r="E22" s="181">
        <v>7668.4</v>
      </c>
      <c r="F22" s="181">
        <v>35</v>
      </c>
      <c r="G22" s="184" t="s">
        <v>2168</v>
      </c>
      <c r="H22" s="181"/>
      <c r="I22" s="181"/>
      <c r="J22" s="181"/>
    </row>
    <row r="23" ht="18" customHeight="1" spans="1:10">
      <c r="A23" s="186"/>
      <c r="B23" s="179"/>
      <c r="C23" s="180" t="s">
        <v>2169</v>
      </c>
      <c r="D23" s="181">
        <f t="shared" si="0"/>
        <v>889</v>
      </c>
      <c r="E23" s="181">
        <v>889</v>
      </c>
      <c r="F23" s="181"/>
      <c r="G23" s="184" t="s">
        <v>2170</v>
      </c>
      <c r="H23" s="181">
        <f t="shared" si="2"/>
        <v>64656.387704</v>
      </c>
      <c r="I23" s="181">
        <v>47850.4049</v>
      </c>
      <c r="J23" s="181">
        <v>16805.982804</v>
      </c>
    </row>
    <row r="24" ht="18" customHeight="1" spans="1:10">
      <c r="A24" s="186"/>
      <c r="B24" s="179"/>
      <c r="C24" s="180" t="s">
        <v>2171</v>
      </c>
      <c r="D24" s="181">
        <f t="shared" si="0"/>
        <v>4853.520927</v>
      </c>
      <c r="E24" s="181">
        <v>4730.520927</v>
      </c>
      <c r="F24" s="181">
        <v>123</v>
      </c>
      <c r="G24" s="184" t="s">
        <v>2172</v>
      </c>
      <c r="H24" s="181"/>
      <c r="I24" s="181"/>
      <c r="J24" s="181"/>
    </row>
    <row r="25" ht="18" customHeight="1" spans="1:10">
      <c r="A25" s="186"/>
      <c r="B25" s="179"/>
      <c r="C25" s="180" t="s">
        <v>2173</v>
      </c>
      <c r="D25" s="181">
        <f t="shared" si="0"/>
        <v>3000</v>
      </c>
      <c r="E25" s="181">
        <v>3000</v>
      </c>
      <c r="F25" s="181"/>
      <c r="G25" s="184" t="s">
        <v>2174</v>
      </c>
      <c r="H25" s="181">
        <f t="shared" si="2"/>
        <v>51499</v>
      </c>
      <c r="I25" s="181">
        <v>46499</v>
      </c>
      <c r="J25" s="181">
        <v>5000</v>
      </c>
    </row>
    <row r="26" ht="18" customHeight="1" spans="1:10">
      <c r="A26" s="186"/>
      <c r="B26" s="179"/>
      <c r="C26" s="180" t="s">
        <v>2175</v>
      </c>
      <c r="D26" s="181">
        <f t="shared" si="0"/>
        <v>30000</v>
      </c>
      <c r="E26" s="181">
        <v>30000</v>
      </c>
      <c r="F26" s="181"/>
      <c r="G26" s="184" t="s">
        <v>2176</v>
      </c>
      <c r="H26" s="181">
        <f t="shared" si="2"/>
        <v>36974</v>
      </c>
      <c r="I26" s="181">
        <v>36974</v>
      </c>
      <c r="J26" s="181"/>
    </row>
    <row r="27" ht="18" customHeight="1" spans="1:10">
      <c r="A27" s="186"/>
      <c r="B27" s="179"/>
      <c r="C27" s="180" t="s">
        <v>2177</v>
      </c>
      <c r="D27" s="181">
        <f t="shared" si="0"/>
        <v>18181</v>
      </c>
      <c r="E27" s="181">
        <v>18181</v>
      </c>
      <c r="F27" s="181"/>
      <c r="G27" s="184" t="s">
        <v>2178</v>
      </c>
      <c r="H27" s="181">
        <f t="shared" si="2"/>
        <v>1860.21</v>
      </c>
      <c r="I27" s="181">
        <v>1860.21</v>
      </c>
      <c r="J27" s="181"/>
    </row>
    <row r="28" ht="18" customHeight="1" spans="1:10">
      <c r="A28" s="186"/>
      <c r="B28" s="179"/>
      <c r="C28" s="180" t="s">
        <v>2179</v>
      </c>
      <c r="D28" s="181">
        <f t="shared" si="0"/>
        <v>90</v>
      </c>
      <c r="E28" s="181">
        <v>90</v>
      </c>
      <c r="F28" s="181"/>
      <c r="G28" s="184"/>
      <c r="H28" s="181"/>
      <c r="I28" s="181"/>
      <c r="J28" s="181"/>
    </row>
    <row r="29" s="161" customFormat="1" ht="20.1" customHeight="1" spans="1:10">
      <c r="A29" s="188" t="s">
        <v>2180</v>
      </c>
      <c r="B29" s="179">
        <f>B6</f>
        <v>736849.068646</v>
      </c>
      <c r="C29" s="188" t="s">
        <v>2181</v>
      </c>
      <c r="D29" s="179">
        <f t="shared" si="0"/>
        <v>736849.004668</v>
      </c>
      <c r="E29" s="179">
        <f>SUM(E6:E28)</f>
        <v>680520.681813</v>
      </c>
      <c r="F29" s="179">
        <f t="shared" ref="D29:F29" si="3">SUM(F6:F28)</f>
        <v>56328.322855</v>
      </c>
      <c r="G29" s="188" t="s">
        <v>2181</v>
      </c>
      <c r="H29" s="179">
        <f>H7+H10+H13</f>
        <v>736849.068646</v>
      </c>
      <c r="I29" s="179">
        <f t="shared" ref="H29:J29" si="4">I7+I10+I13</f>
        <v>680520.745791</v>
      </c>
      <c r="J29" s="179">
        <f t="shared" si="4"/>
        <v>56328.322855</v>
      </c>
    </row>
    <row r="30" ht="20.1" customHeight="1"/>
  </sheetData>
  <mergeCells count="3">
    <mergeCell ref="A2:J2"/>
    <mergeCell ref="A4:B4"/>
    <mergeCell ref="C4:J4"/>
  </mergeCells>
  <printOptions horizontalCentered="1"/>
  <pageMargins left="0.393055555555556" right="0.393055555555556" top="0.786805555555556" bottom="0.590277777777778" header="0.313888888888889" footer="0.313888888888889"/>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outlinePr summaryBelow="0" summaryRight="0"/>
  </sheetPr>
  <dimension ref="A1:N295"/>
  <sheetViews>
    <sheetView showZeros="0" view="pageBreakPreview" zoomScaleNormal="100" workbookViewId="0">
      <pane ySplit="5" topLeftCell="A80" activePane="bottomLeft" state="frozen"/>
      <selection/>
      <selection pane="bottomLeft" activeCell="H1" sqref="H$1:H$1048576"/>
    </sheetView>
  </sheetViews>
  <sheetFormatPr defaultColWidth="9" defaultRowHeight="14.25"/>
  <cols>
    <col min="1" max="1" width="7.125" style="69" customWidth="1"/>
    <col min="2" max="2" width="26.125" style="70" customWidth="1"/>
    <col min="3" max="3" width="9.625" style="138" customWidth="1"/>
    <col min="4" max="4" width="9.625" style="71" customWidth="1"/>
    <col min="5" max="7" width="10.625" style="71" customWidth="1"/>
    <col min="8" max="8" width="9.75" style="71" hidden="1" customWidth="1"/>
    <col min="9" max="9" width="9" style="71"/>
    <col min="10" max="11" width="19.125" style="71"/>
    <col min="12" max="13" width="17.875" style="71"/>
    <col min="14" max="14" width="19.125" style="71"/>
    <col min="15" max="15" width="9.375" style="71"/>
    <col min="16" max="16384" width="9" style="71"/>
  </cols>
  <sheetData>
    <row r="1" s="65" customFormat="1" ht="25" customHeight="1" spans="1:14">
      <c r="A1" s="72" t="s">
        <v>32</v>
      </c>
      <c r="B1" s="73"/>
      <c r="J1" s="148"/>
      <c r="K1" s="148"/>
      <c r="L1" s="148"/>
      <c r="M1" s="148"/>
      <c r="N1" s="148"/>
    </row>
    <row r="2" s="66" customFormat="1" ht="30" customHeight="1" spans="1:14">
      <c r="A2" s="74" t="s">
        <v>2182</v>
      </c>
      <c r="B2" s="74"/>
      <c r="C2" s="74"/>
      <c r="D2" s="74"/>
      <c r="E2" s="74"/>
      <c r="F2" s="74"/>
      <c r="G2" s="74"/>
      <c r="I2" s="149"/>
      <c r="J2" s="150"/>
      <c r="K2" s="150"/>
      <c r="L2" s="150"/>
      <c r="M2" s="150"/>
      <c r="N2" s="150"/>
    </row>
    <row r="3" s="67" customFormat="1" ht="16" customHeight="1" spans="1:7">
      <c r="A3" s="75"/>
      <c r="B3" s="76"/>
      <c r="G3" s="93" t="s">
        <v>45</v>
      </c>
    </row>
    <row r="4" s="68" customFormat="1" ht="20.1" customHeight="1" spans="1:7">
      <c r="A4" s="139" t="s">
        <v>560</v>
      </c>
      <c r="B4" s="140" t="s">
        <v>2183</v>
      </c>
      <c r="C4" s="139" t="s">
        <v>183</v>
      </c>
      <c r="D4" s="139" t="s">
        <v>2184</v>
      </c>
      <c r="E4" s="139" t="s">
        <v>2185</v>
      </c>
      <c r="F4" s="139"/>
      <c r="G4" s="139" t="s">
        <v>2186</v>
      </c>
    </row>
    <row r="5" s="68" customFormat="1" ht="35.1" customHeight="1" spans="1:8">
      <c r="A5" s="139"/>
      <c r="B5" s="140"/>
      <c r="C5" s="139"/>
      <c r="D5" s="139"/>
      <c r="E5" s="139" t="s">
        <v>2187</v>
      </c>
      <c r="F5" s="139" t="s">
        <v>2188</v>
      </c>
      <c r="G5" s="139"/>
      <c r="H5" s="68" t="s">
        <v>577</v>
      </c>
    </row>
    <row r="6" s="117" customFormat="1" ht="20.6" customHeight="1" spans="1:8">
      <c r="A6" s="141"/>
      <c r="B6" s="82" t="s">
        <v>562</v>
      </c>
      <c r="C6" s="142">
        <f t="shared" ref="C6:G6" si="0">SUM(C7,C33,C50,C86,C105,C110,C119,C187,C191,C280,C294,C295)</f>
        <v>736849.068646</v>
      </c>
      <c r="D6" s="142">
        <f t="shared" si="0"/>
        <v>244086.593671</v>
      </c>
      <c r="E6" s="142">
        <f t="shared" si="0"/>
        <v>26473.624402</v>
      </c>
      <c r="F6" s="142">
        <f t="shared" si="0"/>
        <v>10152.420411</v>
      </c>
      <c r="G6" s="142">
        <f t="shared" si="0"/>
        <v>456136.430162</v>
      </c>
      <c r="H6" s="143" t="s">
        <v>578</v>
      </c>
    </row>
    <row r="7" s="117" customFormat="1" ht="20.6" customHeight="1" spans="1:8">
      <c r="A7" s="141"/>
      <c r="B7" s="82" t="s">
        <v>579</v>
      </c>
      <c r="C7" s="102">
        <f t="shared" ref="C7:C70" si="1">D7+E7+F7+G7</f>
        <v>63804.526597</v>
      </c>
      <c r="D7" s="142">
        <f t="shared" ref="D7:G7" si="2">SUM(D8:D32)</f>
        <v>38264.542321</v>
      </c>
      <c r="E7" s="142">
        <f t="shared" si="2"/>
        <v>6056.184276</v>
      </c>
      <c r="F7" s="142">
        <f t="shared" si="2"/>
        <v>1021.05</v>
      </c>
      <c r="G7" s="142">
        <f t="shared" si="2"/>
        <v>18462.75</v>
      </c>
      <c r="H7" s="143" t="s">
        <v>578</v>
      </c>
    </row>
    <row r="8" ht="20.6" customHeight="1" spans="1:8">
      <c r="A8" s="95" t="s">
        <v>580</v>
      </c>
      <c r="B8" s="96" t="s">
        <v>1166</v>
      </c>
      <c r="C8" s="113">
        <f t="shared" si="1"/>
        <v>1709.995075</v>
      </c>
      <c r="D8" s="144">
        <v>1260.494389</v>
      </c>
      <c r="E8" s="144">
        <v>218.000686</v>
      </c>
      <c r="F8" s="144"/>
      <c r="G8" s="144">
        <v>231.5</v>
      </c>
      <c r="H8" s="143" t="s">
        <v>578</v>
      </c>
    </row>
    <row r="9" ht="20.6" customHeight="1" spans="1:8">
      <c r="A9" s="95" t="s">
        <v>582</v>
      </c>
      <c r="B9" s="96" t="s">
        <v>1172</v>
      </c>
      <c r="C9" s="113">
        <f t="shared" si="1"/>
        <v>333.845111</v>
      </c>
      <c r="D9" s="144">
        <v>215.876591</v>
      </c>
      <c r="E9" s="144">
        <v>25.08852</v>
      </c>
      <c r="F9" s="144"/>
      <c r="G9" s="144">
        <v>92.88</v>
      </c>
      <c r="H9" s="143" t="s">
        <v>578</v>
      </c>
    </row>
    <row r="10" ht="20.6" customHeight="1" spans="1:8">
      <c r="A10" s="95" t="s">
        <v>584</v>
      </c>
      <c r="B10" s="96" t="s">
        <v>585</v>
      </c>
      <c r="C10" s="113">
        <f t="shared" si="1"/>
        <v>726.0495</v>
      </c>
      <c r="D10" s="144">
        <v>389.779218</v>
      </c>
      <c r="E10" s="144">
        <v>42.270282</v>
      </c>
      <c r="F10" s="144"/>
      <c r="G10" s="144">
        <v>294</v>
      </c>
      <c r="H10" s="143" t="s">
        <v>578</v>
      </c>
    </row>
    <row r="11" ht="20.6" customHeight="1" spans="1:8">
      <c r="A11" s="95" t="s">
        <v>586</v>
      </c>
      <c r="B11" s="96" t="s">
        <v>1179</v>
      </c>
      <c r="C11" s="113">
        <f t="shared" si="1"/>
        <v>1537.370348</v>
      </c>
      <c r="D11" s="144">
        <v>1122.70532</v>
      </c>
      <c r="E11" s="144">
        <v>130.555028</v>
      </c>
      <c r="F11" s="144">
        <v>10.75</v>
      </c>
      <c r="G11" s="144">
        <v>273.36</v>
      </c>
      <c r="H11" s="143" t="s">
        <v>578</v>
      </c>
    </row>
    <row r="12" ht="20.6" customHeight="1" spans="1:8">
      <c r="A12" s="95" t="s">
        <v>588</v>
      </c>
      <c r="B12" s="96" t="s">
        <v>2189</v>
      </c>
      <c r="C12" s="113">
        <f t="shared" si="1"/>
        <v>1300</v>
      </c>
      <c r="D12" s="144"/>
      <c r="E12" s="144"/>
      <c r="F12" s="144"/>
      <c r="G12" s="144">
        <v>1300</v>
      </c>
      <c r="H12" s="143" t="s">
        <v>578</v>
      </c>
    </row>
    <row r="13" ht="20.6" customHeight="1" spans="1:8">
      <c r="A13" s="95" t="s">
        <v>590</v>
      </c>
      <c r="B13" s="96" t="s">
        <v>1191</v>
      </c>
      <c r="C13" s="113">
        <f t="shared" si="1"/>
        <v>1260.567476</v>
      </c>
      <c r="D13" s="144">
        <v>713.86529</v>
      </c>
      <c r="E13" s="144">
        <v>73.602186</v>
      </c>
      <c r="F13" s="144"/>
      <c r="G13" s="144">
        <v>473.1</v>
      </c>
      <c r="H13" s="143" t="s">
        <v>578</v>
      </c>
    </row>
    <row r="14" ht="20.6" customHeight="1" spans="1:8">
      <c r="A14" s="95" t="s">
        <v>592</v>
      </c>
      <c r="B14" s="96" t="s">
        <v>593</v>
      </c>
      <c r="C14" s="113">
        <f t="shared" si="1"/>
        <v>590.908752</v>
      </c>
      <c r="D14" s="144">
        <v>254.82507</v>
      </c>
      <c r="E14" s="144">
        <v>31.083682</v>
      </c>
      <c r="F14" s="144"/>
      <c r="G14" s="144">
        <v>305</v>
      </c>
      <c r="H14" s="143" t="s">
        <v>578</v>
      </c>
    </row>
    <row r="15" ht="20.6" customHeight="1" spans="1:8">
      <c r="A15" s="95" t="s">
        <v>594</v>
      </c>
      <c r="B15" s="96" t="s">
        <v>595</v>
      </c>
      <c r="C15" s="113">
        <f t="shared" si="1"/>
        <v>219.618913</v>
      </c>
      <c r="D15" s="144">
        <v>120.43031</v>
      </c>
      <c r="E15" s="144">
        <v>20.188603</v>
      </c>
      <c r="F15" s="144"/>
      <c r="G15" s="144">
        <v>79</v>
      </c>
      <c r="H15" s="143" t="s">
        <v>578</v>
      </c>
    </row>
    <row r="16" ht="20.6" customHeight="1" spans="1:8">
      <c r="A16" s="95" t="s">
        <v>596</v>
      </c>
      <c r="B16" s="96" t="s">
        <v>597</v>
      </c>
      <c r="C16" s="113">
        <f t="shared" si="1"/>
        <v>348.378805</v>
      </c>
      <c r="D16" s="144">
        <v>156.458245</v>
      </c>
      <c r="E16" s="144">
        <v>22.92056</v>
      </c>
      <c r="F16" s="144"/>
      <c r="G16" s="144">
        <v>169</v>
      </c>
      <c r="H16" s="143" t="s">
        <v>578</v>
      </c>
    </row>
    <row r="17" ht="20.6" customHeight="1" spans="1:8">
      <c r="A17" s="95" t="s">
        <v>598</v>
      </c>
      <c r="B17" s="96" t="s">
        <v>599</v>
      </c>
      <c r="C17" s="113">
        <f t="shared" si="1"/>
        <v>1866.599779</v>
      </c>
      <c r="D17" s="144">
        <v>1270.233193</v>
      </c>
      <c r="E17" s="144">
        <v>233.766586</v>
      </c>
      <c r="F17" s="144"/>
      <c r="G17" s="144">
        <v>362.6</v>
      </c>
      <c r="H17" s="143" t="s">
        <v>578</v>
      </c>
    </row>
    <row r="18" ht="20.6" customHeight="1" spans="1:8">
      <c r="A18" s="95" t="s">
        <v>600</v>
      </c>
      <c r="B18" s="96" t="s">
        <v>601</v>
      </c>
      <c r="C18" s="113">
        <f t="shared" si="1"/>
        <v>1513.812553</v>
      </c>
      <c r="D18" s="144">
        <v>968.160991</v>
      </c>
      <c r="E18" s="144">
        <v>185.111562</v>
      </c>
      <c r="F18" s="144"/>
      <c r="G18" s="144">
        <v>360.54</v>
      </c>
      <c r="H18" s="143" t="s">
        <v>578</v>
      </c>
    </row>
    <row r="19" s="117" customFormat="1" ht="20.6" customHeight="1" spans="1:8">
      <c r="A19" s="95" t="s">
        <v>1043</v>
      </c>
      <c r="B19" s="96" t="s">
        <v>603</v>
      </c>
      <c r="C19" s="113">
        <f t="shared" si="1"/>
        <v>2594.314383</v>
      </c>
      <c r="D19" s="144">
        <v>2114.97141</v>
      </c>
      <c r="E19" s="144">
        <v>283.842973</v>
      </c>
      <c r="F19" s="144"/>
      <c r="G19" s="144">
        <v>195.5</v>
      </c>
      <c r="H19" s="143" t="s">
        <v>578</v>
      </c>
    </row>
    <row r="20" ht="20.6" customHeight="1" spans="1:8">
      <c r="A20" s="95" t="s">
        <v>604</v>
      </c>
      <c r="B20" s="96" t="s">
        <v>605</v>
      </c>
      <c r="C20" s="113">
        <f t="shared" si="1"/>
        <v>1882.367963</v>
      </c>
      <c r="D20" s="144">
        <v>411.655191</v>
      </c>
      <c r="E20" s="144">
        <v>496.032772</v>
      </c>
      <c r="F20" s="144">
        <v>8.4</v>
      </c>
      <c r="G20" s="144">
        <v>966.28</v>
      </c>
      <c r="H20" s="143" t="s">
        <v>578</v>
      </c>
    </row>
    <row r="21" ht="20.6" customHeight="1" spans="1:8">
      <c r="A21" s="95" t="s">
        <v>606</v>
      </c>
      <c r="B21" s="96" t="s">
        <v>1228</v>
      </c>
      <c r="C21" s="113">
        <f t="shared" si="1"/>
        <v>328.833714</v>
      </c>
      <c r="D21" s="144">
        <v>275.240241</v>
      </c>
      <c r="E21" s="144">
        <v>23.593473</v>
      </c>
      <c r="F21" s="144"/>
      <c r="G21" s="144">
        <v>30</v>
      </c>
      <c r="H21" s="143" t="s">
        <v>578</v>
      </c>
    </row>
    <row r="22" ht="20.6" customHeight="1" spans="1:8">
      <c r="A22" s="95" t="s">
        <v>608</v>
      </c>
      <c r="B22" s="96" t="s">
        <v>609</v>
      </c>
      <c r="C22" s="113">
        <f t="shared" si="1"/>
        <v>1251.007822</v>
      </c>
      <c r="D22" s="144">
        <v>475.440976</v>
      </c>
      <c r="E22" s="144">
        <v>39.026846</v>
      </c>
      <c r="F22" s="144">
        <v>7</v>
      </c>
      <c r="G22" s="144">
        <v>729.54</v>
      </c>
      <c r="H22" s="143" t="s">
        <v>578</v>
      </c>
    </row>
    <row r="23" ht="20.6" customHeight="1" spans="1:8">
      <c r="A23" s="95" t="s">
        <v>610</v>
      </c>
      <c r="B23" s="96" t="s">
        <v>611</v>
      </c>
      <c r="C23" s="113">
        <f t="shared" si="1"/>
        <v>1408.005727</v>
      </c>
      <c r="D23" s="144">
        <v>750.526273</v>
      </c>
      <c r="E23" s="144">
        <v>82.479454</v>
      </c>
      <c r="F23" s="144"/>
      <c r="G23" s="144">
        <v>575</v>
      </c>
      <c r="H23" s="143" t="s">
        <v>578</v>
      </c>
    </row>
    <row r="24" ht="20.6" customHeight="1" spans="1:8">
      <c r="A24" s="95" t="s">
        <v>612</v>
      </c>
      <c r="B24" s="96" t="s">
        <v>613</v>
      </c>
      <c r="C24" s="113">
        <f t="shared" si="1"/>
        <v>4165.435745</v>
      </c>
      <c r="D24" s="144">
        <v>2788.719387</v>
      </c>
      <c r="E24" s="144">
        <v>215.316358</v>
      </c>
      <c r="F24" s="144">
        <v>206.4</v>
      </c>
      <c r="G24" s="144">
        <v>955</v>
      </c>
      <c r="H24" s="143" t="s">
        <v>578</v>
      </c>
    </row>
    <row r="25" ht="20.6" customHeight="1" spans="1:8">
      <c r="A25" s="95" t="s">
        <v>614</v>
      </c>
      <c r="B25" s="96" t="s">
        <v>615</v>
      </c>
      <c r="C25" s="113">
        <f t="shared" si="1"/>
        <v>25680.80942</v>
      </c>
      <c r="D25" s="144">
        <v>13636.188373</v>
      </c>
      <c r="E25" s="144">
        <v>2459.841047</v>
      </c>
      <c r="F25" s="144">
        <v>649.5</v>
      </c>
      <c r="G25" s="144">
        <v>8935.28</v>
      </c>
      <c r="H25" s="143" t="s">
        <v>578</v>
      </c>
    </row>
    <row r="26" ht="20.6" customHeight="1" spans="1:8">
      <c r="A26" s="95" t="s">
        <v>616</v>
      </c>
      <c r="B26" s="96" t="s">
        <v>617</v>
      </c>
      <c r="C26" s="113">
        <f t="shared" si="1"/>
        <v>2386.039149</v>
      </c>
      <c r="D26" s="144">
        <v>1772.820167</v>
      </c>
      <c r="E26" s="144">
        <v>241.368982</v>
      </c>
      <c r="F26" s="144"/>
      <c r="G26" s="144">
        <v>371.85</v>
      </c>
      <c r="H26" s="143" t="s">
        <v>578</v>
      </c>
    </row>
    <row r="27" ht="20.6" customHeight="1" spans="1:8">
      <c r="A27" s="95" t="s">
        <v>618</v>
      </c>
      <c r="B27" s="96" t="s">
        <v>2190</v>
      </c>
      <c r="C27" s="113">
        <f t="shared" si="1"/>
        <v>576.564334</v>
      </c>
      <c r="D27" s="144">
        <v>401.80245</v>
      </c>
      <c r="E27" s="144">
        <v>53.261884</v>
      </c>
      <c r="F27" s="144"/>
      <c r="G27" s="144">
        <v>121.5</v>
      </c>
      <c r="H27" s="143" t="s">
        <v>578</v>
      </c>
    </row>
    <row r="28" ht="20.6" customHeight="1" spans="1:8">
      <c r="A28" s="95" t="s">
        <v>620</v>
      </c>
      <c r="B28" s="96" t="s">
        <v>1267</v>
      </c>
      <c r="C28" s="113">
        <f t="shared" si="1"/>
        <v>4092.406214</v>
      </c>
      <c r="D28" s="144">
        <v>2630.029732</v>
      </c>
      <c r="E28" s="144">
        <v>492.556482</v>
      </c>
      <c r="F28" s="144">
        <v>139</v>
      </c>
      <c r="G28" s="144">
        <v>830.82</v>
      </c>
      <c r="H28" s="143" t="s">
        <v>578</v>
      </c>
    </row>
    <row r="29" ht="20.6" customHeight="1" spans="1:8">
      <c r="A29" s="95" t="s">
        <v>622</v>
      </c>
      <c r="B29" s="96" t="s">
        <v>1275</v>
      </c>
      <c r="C29" s="113">
        <f t="shared" si="1"/>
        <v>523.254971</v>
      </c>
      <c r="D29" s="144">
        <v>321.019269</v>
      </c>
      <c r="E29" s="144">
        <v>53.235702</v>
      </c>
      <c r="F29" s="144"/>
      <c r="G29" s="144">
        <v>149</v>
      </c>
      <c r="H29" s="143" t="s">
        <v>578</v>
      </c>
    </row>
    <row r="30" ht="20.6" customHeight="1" spans="1:8">
      <c r="A30" s="95" t="s">
        <v>624</v>
      </c>
      <c r="B30" s="96" t="s">
        <v>625</v>
      </c>
      <c r="C30" s="113">
        <f t="shared" si="1"/>
        <v>6532.22085</v>
      </c>
      <c r="D30" s="144">
        <v>5505.337314</v>
      </c>
      <c r="E30" s="144">
        <v>568.883536</v>
      </c>
      <c r="F30" s="144"/>
      <c r="G30" s="144">
        <v>458</v>
      </c>
      <c r="H30" s="143" t="s">
        <v>578</v>
      </c>
    </row>
    <row r="31" s="117" customFormat="1" ht="20.6" customHeight="1" spans="1:8">
      <c r="A31" s="95" t="s">
        <v>626</v>
      </c>
      <c r="B31" s="96" t="s">
        <v>627</v>
      </c>
      <c r="C31" s="113">
        <f t="shared" si="1"/>
        <v>767.547181</v>
      </c>
      <c r="D31" s="144">
        <v>579.390109</v>
      </c>
      <c r="E31" s="144">
        <v>64.157072</v>
      </c>
      <c r="F31" s="144"/>
      <c r="G31" s="144">
        <v>124</v>
      </c>
      <c r="H31" s="143" t="s">
        <v>578</v>
      </c>
    </row>
    <row r="32" s="117" customFormat="1" ht="20.6" customHeight="1" spans="1:8">
      <c r="A32" s="95" t="s">
        <v>628</v>
      </c>
      <c r="B32" s="96" t="s">
        <v>629</v>
      </c>
      <c r="C32" s="113">
        <f t="shared" si="1"/>
        <v>208.572812</v>
      </c>
      <c r="D32" s="144">
        <v>128.572812</v>
      </c>
      <c r="E32" s="144"/>
      <c r="F32" s="144"/>
      <c r="G32" s="144">
        <v>80</v>
      </c>
      <c r="H32" s="143" t="s">
        <v>578</v>
      </c>
    </row>
    <row r="33" s="117" customFormat="1" ht="20.6" customHeight="1" spans="1:8">
      <c r="A33" s="145"/>
      <c r="B33" s="82" t="s">
        <v>630</v>
      </c>
      <c r="C33" s="102">
        <f t="shared" si="1"/>
        <v>10671.410082</v>
      </c>
      <c r="D33" s="146">
        <f t="shared" ref="D33:G33" si="3">SUM(D34:D49)</f>
        <v>8738.716669</v>
      </c>
      <c r="E33" s="146">
        <f t="shared" si="3"/>
        <v>779.9453</v>
      </c>
      <c r="F33" s="146">
        <f t="shared" si="3"/>
        <v>48</v>
      </c>
      <c r="G33" s="146">
        <f t="shared" si="3"/>
        <v>1104.748113</v>
      </c>
      <c r="H33" s="143" t="s">
        <v>578</v>
      </c>
    </row>
    <row r="34" ht="20.6" customHeight="1" spans="1:8">
      <c r="A34" s="95" t="s">
        <v>631</v>
      </c>
      <c r="B34" s="96" t="s">
        <v>632</v>
      </c>
      <c r="C34" s="147">
        <f t="shared" si="1"/>
        <v>1068.808657</v>
      </c>
      <c r="D34" s="144">
        <v>899.829805</v>
      </c>
      <c r="E34" s="144">
        <v>95.978852</v>
      </c>
      <c r="F34" s="144"/>
      <c r="G34" s="144">
        <v>73</v>
      </c>
      <c r="H34" s="143" t="s">
        <v>578</v>
      </c>
    </row>
    <row r="35" ht="20.6" customHeight="1" spans="1:8">
      <c r="A35" s="95" t="s">
        <v>633</v>
      </c>
      <c r="B35" s="96" t="s">
        <v>634</v>
      </c>
      <c r="C35" s="147">
        <f t="shared" si="1"/>
        <v>553.119496</v>
      </c>
      <c r="D35" s="144">
        <v>431.738862</v>
      </c>
      <c r="E35" s="144">
        <v>36.380634</v>
      </c>
      <c r="F35" s="144"/>
      <c r="G35" s="144">
        <v>85</v>
      </c>
      <c r="H35" s="143" t="s">
        <v>578</v>
      </c>
    </row>
    <row r="36" ht="20.6" customHeight="1" spans="1:8">
      <c r="A36" s="95" t="s">
        <v>635</v>
      </c>
      <c r="B36" s="96" t="s">
        <v>636</v>
      </c>
      <c r="C36" s="147">
        <f t="shared" si="1"/>
        <v>1927.572343</v>
      </c>
      <c r="D36" s="144">
        <v>1627.979367</v>
      </c>
      <c r="E36" s="144">
        <v>107.592976</v>
      </c>
      <c r="F36" s="144"/>
      <c r="G36" s="144">
        <v>192</v>
      </c>
      <c r="H36" s="143" t="s">
        <v>578</v>
      </c>
    </row>
    <row r="37" ht="20.6" customHeight="1" spans="1:8">
      <c r="A37" s="95" t="s">
        <v>637</v>
      </c>
      <c r="B37" s="96" t="s">
        <v>638</v>
      </c>
      <c r="C37" s="147">
        <f t="shared" si="1"/>
        <v>253.198308</v>
      </c>
      <c r="D37" s="144">
        <v>206.989854</v>
      </c>
      <c r="E37" s="144">
        <v>14.208454</v>
      </c>
      <c r="F37" s="144"/>
      <c r="G37" s="144">
        <v>32</v>
      </c>
      <c r="H37" s="143" t="s">
        <v>578</v>
      </c>
    </row>
    <row r="38" ht="20.6" customHeight="1" spans="1:8">
      <c r="A38" s="95" t="s">
        <v>639</v>
      </c>
      <c r="B38" s="96" t="s">
        <v>640</v>
      </c>
      <c r="C38" s="147">
        <f t="shared" si="1"/>
        <v>619.1208</v>
      </c>
      <c r="D38" s="144">
        <v>565.415908</v>
      </c>
      <c r="E38" s="144">
        <v>38.704892</v>
      </c>
      <c r="F38" s="144"/>
      <c r="G38" s="144">
        <v>15</v>
      </c>
      <c r="H38" s="143" t="s">
        <v>578</v>
      </c>
    </row>
    <row r="39" ht="20.6" customHeight="1" spans="1:8">
      <c r="A39" s="95" t="s">
        <v>641</v>
      </c>
      <c r="B39" s="96" t="s">
        <v>642</v>
      </c>
      <c r="C39" s="147">
        <f t="shared" si="1"/>
        <v>404.003311</v>
      </c>
      <c r="D39" s="144">
        <v>361.323626</v>
      </c>
      <c r="E39" s="144">
        <v>22.679685</v>
      </c>
      <c r="F39" s="144"/>
      <c r="G39" s="144">
        <v>20</v>
      </c>
      <c r="H39" s="143" t="s">
        <v>578</v>
      </c>
    </row>
    <row r="40" ht="20.6" customHeight="1" spans="1:8">
      <c r="A40" s="95" t="s">
        <v>643</v>
      </c>
      <c r="B40" s="96" t="s">
        <v>644</v>
      </c>
      <c r="C40" s="147">
        <f t="shared" si="1"/>
        <v>84.645779</v>
      </c>
      <c r="D40" s="144">
        <v>81.080315</v>
      </c>
      <c r="E40" s="144">
        <v>3.565464</v>
      </c>
      <c r="F40" s="144"/>
      <c r="G40" s="144"/>
      <c r="H40" s="143" t="s">
        <v>578</v>
      </c>
    </row>
    <row r="41" ht="20.6" customHeight="1" spans="1:8">
      <c r="A41" s="95" t="s">
        <v>645</v>
      </c>
      <c r="B41" s="96" t="s">
        <v>646</v>
      </c>
      <c r="C41" s="147">
        <f t="shared" si="1"/>
        <v>581.561728</v>
      </c>
      <c r="D41" s="144">
        <v>515.31595</v>
      </c>
      <c r="E41" s="144">
        <v>43.745778</v>
      </c>
      <c r="F41" s="144"/>
      <c r="G41" s="144">
        <v>22.5</v>
      </c>
      <c r="H41" s="143" t="s">
        <v>578</v>
      </c>
    </row>
    <row r="42" ht="20.6" customHeight="1" spans="1:8">
      <c r="A42" s="95" t="s">
        <v>647</v>
      </c>
      <c r="B42" s="96" t="s">
        <v>648</v>
      </c>
      <c r="C42" s="147">
        <f t="shared" si="1"/>
        <v>488.349382</v>
      </c>
      <c r="D42" s="144">
        <v>409.461488</v>
      </c>
      <c r="E42" s="144">
        <v>46.887894</v>
      </c>
      <c r="F42" s="144"/>
      <c r="G42" s="144">
        <v>32</v>
      </c>
      <c r="H42" s="143" t="s">
        <v>578</v>
      </c>
    </row>
    <row r="43" ht="20.6" customHeight="1" spans="1:8">
      <c r="A43" s="95" t="s">
        <v>649</v>
      </c>
      <c r="B43" s="96" t="s">
        <v>650</v>
      </c>
      <c r="C43" s="147">
        <f t="shared" si="1"/>
        <v>436.86205</v>
      </c>
      <c r="D43" s="144">
        <v>240.016998</v>
      </c>
      <c r="E43" s="144">
        <v>25.845052</v>
      </c>
      <c r="F43" s="144">
        <v>13</v>
      </c>
      <c r="G43" s="144">
        <v>158</v>
      </c>
      <c r="H43" s="143" t="s">
        <v>578</v>
      </c>
    </row>
    <row r="44" ht="20.6" customHeight="1" spans="1:8">
      <c r="A44" s="95" t="s">
        <v>651</v>
      </c>
      <c r="B44" s="96" t="s">
        <v>652</v>
      </c>
      <c r="C44" s="147">
        <f t="shared" si="1"/>
        <v>384.150613</v>
      </c>
      <c r="D44" s="144">
        <v>283.715778</v>
      </c>
      <c r="E44" s="144">
        <v>34.434835</v>
      </c>
      <c r="F44" s="144"/>
      <c r="G44" s="144">
        <v>66</v>
      </c>
      <c r="H44" s="143" t="s">
        <v>578</v>
      </c>
    </row>
    <row r="45" ht="20.6" customHeight="1" spans="1:8">
      <c r="A45" s="95" t="s">
        <v>653</v>
      </c>
      <c r="B45" s="96" t="s">
        <v>654</v>
      </c>
      <c r="C45" s="147">
        <f t="shared" si="1"/>
        <v>1852.330757</v>
      </c>
      <c r="D45" s="144">
        <v>1523.470337</v>
      </c>
      <c r="E45" s="144">
        <v>146.62932</v>
      </c>
      <c r="F45" s="144"/>
      <c r="G45" s="144">
        <v>182.2311</v>
      </c>
      <c r="H45" s="143" t="s">
        <v>578</v>
      </c>
    </row>
    <row r="46" ht="20.6" customHeight="1" spans="1:8">
      <c r="A46" s="95" t="s">
        <v>655</v>
      </c>
      <c r="B46" s="96" t="s">
        <v>656</v>
      </c>
      <c r="C46" s="147">
        <f t="shared" si="1"/>
        <v>1092.118146</v>
      </c>
      <c r="D46" s="144">
        <v>1003.12595</v>
      </c>
      <c r="E46" s="144">
        <v>88.992196</v>
      </c>
      <c r="F46" s="144"/>
      <c r="G46" s="144"/>
      <c r="H46" s="143" t="s">
        <v>578</v>
      </c>
    </row>
    <row r="47" ht="20.6" customHeight="1" spans="1:8">
      <c r="A47" s="95" t="s">
        <v>657</v>
      </c>
      <c r="B47" s="96" t="s">
        <v>658</v>
      </c>
      <c r="C47" s="147">
        <f t="shared" si="1"/>
        <v>245.37317</v>
      </c>
      <c r="D47" s="144">
        <v>115.671061</v>
      </c>
      <c r="E47" s="144">
        <v>17.685096</v>
      </c>
      <c r="F47" s="144"/>
      <c r="G47" s="144">
        <v>112.017013</v>
      </c>
      <c r="H47" s="143" t="s">
        <v>578</v>
      </c>
    </row>
    <row r="48" ht="20.6" customHeight="1" spans="1:8">
      <c r="A48" s="95" t="s">
        <v>659</v>
      </c>
      <c r="B48" s="96" t="s">
        <v>660</v>
      </c>
      <c r="C48" s="147">
        <f t="shared" si="1"/>
        <v>312.84298</v>
      </c>
      <c r="D48" s="144">
        <v>244.5988</v>
      </c>
      <c r="E48" s="144">
        <v>33.24418</v>
      </c>
      <c r="F48" s="144">
        <v>35</v>
      </c>
      <c r="G48" s="144"/>
      <c r="H48" s="143" t="s">
        <v>578</v>
      </c>
    </row>
    <row r="49" ht="20.6" customHeight="1" spans="1:8">
      <c r="A49" s="95" t="s">
        <v>661</v>
      </c>
      <c r="B49" s="96" t="s">
        <v>662</v>
      </c>
      <c r="C49" s="147">
        <f t="shared" si="1"/>
        <v>367.352562</v>
      </c>
      <c r="D49" s="144">
        <v>228.98257</v>
      </c>
      <c r="E49" s="144">
        <v>23.369992</v>
      </c>
      <c r="F49" s="144"/>
      <c r="G49" s="144">
        <v>115</v>
      </c>
      <c r="H49" s="143" t="s">
        <v>578</v>
      </c>
    </row>
    <row r="50" s="117" customFormat="1" ht="20.6" customHeight="1" spans="1:8">
      <c r="A50" s="145"/>
      <c r="B50" s="82" t="s">
        <v>663</v>
      </c>
      <c r="C50" s="102">
        <f t="shared" si="1"/>
        <v>47494.447591</v>
      </c>
      <c r="D50" s="146">
        <f t="shared" ref="D50:G50" si="4">SUM(D51:D85)</f>
        <v>20349.571932</v>
      </c>
      <c r="E50" s="146">
        <f t="shared" si="4"/>
        <v>982.771855</v>
      </c>
      <c r="F50" s="146">
        <f t="shared" si="4"/>
        <v>228.5</v>
      </c>
      <c r="G50" s="146">
        <f t="shared" si="4"/>
        <v>25933.603804</v>
      </c>
      <c r="H50" s="143" t="s">
        <v>578</v>
      </c>
    </row>
    <row r="51" ht="20.6" customHeight="1" spans="1:8">
      <c r="A51" s="95" t="s">
        <v>1050</v>
      </c>
      <c r="B51" s="96" t="s">
        <v>664</v>
      </c>
      <c r="C51" s="147">
        <f t="shared" si="1"/>
        <v>8656.407926</v>
      </c>
      <c r="D51" s="144">
        <v>901.464138</v>
      </c>
      <c r="E51" s="144">
        <v>92.823788</v>
      </c>
      <c r="F51" s="144"/>
      <c r="G51" s="144">
        <v>7662.12</v>
      </c>
      <c r="H51" s="143" t="s">
        <v>578</v>
      </c>
    </row>
    <row r="52" ht="20.6" customHeight="1" spans="1:8">
      <c r="A52" s="95" t="s">
        <v>1051</v>
      </c>
      <c r="B52" s="96" t="s">
        <v>665</v>
      </c>
      <c r="C52" s="147">
        <f t="shared" si="1"/>
        <v>245.76835</v>
      </c>
      <c r="D52" s="144">
        <v>171.387098</v>
      </c>
      <c r="E52" s="144">
        <v>10.881252</v>
      </c>
      <c r="F52" s="144"/>
      <c r="G52" s="144">
        <v>63.5</v>
      </c>
      <c r="H52" s="143" t="s">
        <v>578</v>
      </c>
    </row>
    <row r="53" ht="20.6" customHeight="1" spans="1:8">
      <c r="A53" s="95" t="s">
        <v>1052</v>
      </c>
      <c r="B53" s="96" t="s">
        <v>666</v>
      </c>
      <c r="C53" s="147">
        <f t="shared" si="1"/>
        <v>2131.479779</v>
      </c>
      <c r="D53" s="144">
        <v>302.307975</v>
      </c>
      <c r="E53" s="144">
        <v>31.689</v>
      </c>
      <c r="F53" s="144"/>
      <c r="G53" s="144">
        <v>1797.482804</v>
      </c>
      <c r="H53" s="143" t="s">
        <v>578</v>
      </c>
    </row>
    <row r="54" ht="20.6" customHeight="1" spans="1:8">
      <c r="A54" s="95" t="s">
        <v>1053</v>
      </c>
      <c r="B54" s="96" t="s">
        <v>667</v>
      </c>
      <c r="C54" s="147">
        <f t="shared" si="1"/>
        <v>2280.485582</v>
      </c>
      <c r="D54" s="144">
        <v>511.327508</v>
      </c>
      <c r="E54" s="144">
        <v>34.158074</v>
      </c>
      <c r="F54" s="144"/>
      <c r="G54" s="144">
        <v>1735</v>
      </c>
      <c r="H54" s="143" t="s">
        <v>578</v>
      </c>
    </row>
    <row r="55" ht="20.6" customHeight="1" spans="1:8">
      <c r="A55" s="95" t="s">
        <v>1054</v>
      </c>
      <c r="B55" s="96" t="s">
        <v>668</v>
      </c>
      <c r="C55" s="147">
        <f t="shared" si="1"/>
        <v>143.143112</v>
      </c>
      <c r="D55" s="144">
        <v>93.573792</v>
      </c>
      <c r="E55" s="144">
        <v>9.56932</v>
      </c>
      <c r="F55" s="144"/>
      <c r="G55" s="144">
        <v>40</v>
      </c>
      <c r="H55" s="143" t="s">
        <v>578</v>
      </c>
    </row>
    <row r="56" ht="20.6" customHeight="1" spans="1:8">
      <c r="A56" s="95" t="s">
        <v>1055</v>
      </c>
      <c r="B56" s="96" t="s">
        <v>669</v>
      </c>
      <c r="C56" s="147">
        <f t="shared" si="1"/>
        <v>1567.023679</v>
      </c>
      <c r="D56" s="144">
        <v>277.032709</v>
      </c>
      <c r="E56" s="144">
        <v>33.69097</v>
      </c>
      <c r="F56" s="144"/>
      <c r="G56" s="144">
        <v>1256.3</v>
      </c>
      <c r="H56" s="143" t="s">
        <v>578</v>
      </c>
    </row>
    <row r="57" ht="20.6" customHeight="1" spans="1:8">
      <c r="A57" s="95" t="s">
        <v>1056</v>
      </c>
      <c r="B57" s="96" t="s">
        <v>670</v>
      </c>
      <c r="C57" s="147">
        <f t="shared" si="1"/>
        <v>3321.756562</v>
      </c>
      <c r="D57" s="144">
        <v>1047.716305</v>
      </c>
      <c r="E57" s="144">
        <v>103.040257</v>
      </c>
      <c r="F57" s="144"/>
      <c r="G57" s="144">
        <v>2171</v>
      </c>
      <c r="H57" s="143" t="s">
        <v>578</v>
      </c>
    </row>
    <row r="58" ht="20.6" customHeight="1" spans="1:8">
      <c r="A58" s="95" t="s">
        <v>1057</v>
      </c>
      <c r="B58" s="96" t="s">
        <v>671</v>
      </c>
      <c r="C58" s="147">
        <f t="shared" si="1"/>
        <v>1775.606294</v>
      </c>
      <c r="D58" s="144">
        <v>1151.500574</v>
      </c>
      <c r="E58" s="144">
        <v>116.10572</v>
      </c>
      <c r="F58" s="144"/>
      <c r="G58" s="144">
        <v>508</v>
      </c>
      <c r="H58" s="143" t="s">
        <v>578</v>
      </c>
    </row>
    <row r="59" ht="20.6" customHeight="1" spans="1:8">
      <c r="A59" s="95" t="s">
        <v>1058</v>
      </c>
      <c r="B59" s="96" t="s">
        <v>672</v>
      </c>
      <c r="C59" s="147">
        <f t="shared" si="1"/>
        <v>2716.769533</v>
      </c>
      <c r="D59" s="144">
        <v>622.029237</v>
      </c>
      <c r="E59" s="144">
        <v>44.740296</v>
      </c>
      <c r="F59" s="144"/>
      <c r="G59" s="144">
        <v>2050</v>
      </c>
      <c r="H59" s="143" t="s">
        <v>578</v>
      </c>
    </row>
    <row r="60" ht="20.6" customHeight="1" spans="1:8">
      <c r="A60" s="95" t="s">
        <v>1059</v>
      </c>
      <c r="B60" s="96" t="s">
        <v>673</v>
      </c>
      <c r="C60" s="147">
        <f t="shared" si="1"/>
        <v>826.788727</v>
      </c>
      <c r="D60" s="144">
        <v>696.838877</v>
      </c>
      <c r="E60" s="144">
        <v>66.64245</v>
      </c>
      <c r="F60" s="144"/>
      <c r="G60" s="144">
        <v>63.3074</v>
      </c>
      <c r="H60" s="143" t="s">
        <v>578</v>
      </c>
    </row>
    <row r="61" ht="20.6" customHeight="1" spans="1:8">
      <c r="A61" s="95" t="s">
        <v>1060</v>
      </c>
      <c r="B61" s="96" t="s">
        <v>674</v>
      </c>
      <c r="C61" s="147">
        <f t="shared" si="1"/>
        <v>645.087091</v>
      </c>
      <c r="D61" s="144">
        <v>282.050955</v>
      </c>
      <c r="E61" s="144">
        <v>25.036136</v>
      </c>
      <c r="F61" s="144"/>
      <c r="G61" s="144">
        <v>338</v>
      </c>
      <c r="H61" s="143" t="s">
        <v>578</v>
      </c>
    </row>
    <row r="62" ht="20.6" customHeight="1" spans="1:8">
      <c r="A62" s="95" t="s">
        <v>1061</v>
      </c>
      <c r="B62" s="96" t="s">
        <v>675</v>
      </c>
      <c r="C62" s="147">
        <f t="shared" si="1"/>
        <v>2579.280606</v>
      </c>
      <c r="D62" s="144">
        <v>1294.858884</v>
      </c>
      <c r="E62" s="144">
        <v>121.421722</v>
      </c>
      <c r="F62" s="144">
        <v>45</v>
      </c>
      <c r="G62" s="144">
        <v>1118</v>
      </c>
      <c r="H62" s="143" t="s">
        <v>578</v>
      </c>
    </row>
    <row r="63" ht="20.6" customHeight="1" spans="1:8">
      <c r="A63" s="95" t="s">
        <v>1062</v>
      </c>
      <c r="B63" s="96" t="s">
        <v>676</v>
      </c>
      <c r="C63" s="147">
        <f t="shared" si="1"/>
        <v>762.848585</v>
      </c>
      <c r="D63" s="144">
        <v>676.845539</v>
      </c>
      <c r="E63" s="144">
        <v>61.003046</v>
      </c>
      <c r="F63" s="144"/>
      <c r="G63" s="144">
        <v>25</v>
      </c>
      <c r="H63" s="143" t="s">
        <v>578</v>
      </c>
    </row>
    <row r="64" ht="20.6" customHeight="1" spans="1:8">
      <c r="A64" s="95" t="s">
        <v>1063</v>
      </c>
      <c r="B64" s="96" t="s">
        <v>677</v>
      </c>
      <c r="C64" s="147">
        <f t="shared" si="1"/>
        <v>1873.5936</v>
      </c>
      <c r="D64" s="144">
        <v>702</v>
      </c>
      <c r="E64" s="144"/>
      <c r="F64" s="144"/>
      <c r="G64" s="144">
        <v>1171.5936</v>
      </c>
      <c r="H64" s="143" t="s">
        <v>578</v>
      </c>
    </row>
    <row r="65" ht="20.6" customHeight="1" spans="1:8">
      <c r="A65" s="95" t="s">
        <v>1065</v>
      </c>
      <c r="B65" s="96" t="s">
        <v>2191</v>
      </c>
      <c r="C65" s="147">
        <f t="shared" si="1"/>
        <v>1219.395243</v>
      </c>
      <c r="D65" s="144">
        <v>1117.954707</v>
      </c>
      <c r="E65" s="144">
        <v>76.440536</v>
      </c>
      <c r="F65" s="144"/>
      <c r="G65" s="144">
        <v>25</v>
      </c>
      <c r="H65" s="143" t="s">
        <v>578</v>
      </c>
    </row>
    <row r="66" ht="20.6" customHeight="1" spans="1:8">
      <c r="A66" s="95" t="s">
        <v>1066</v>
      </c>
      <c r="B66" s="96" t="s">
        <v>679</v>
      </c>
      <c r="C66" s="147">
        <f t="shared" si="1"/>
        <v>538.18142</v>
      </c>
      <c r="D66" s="144">
        <v>125.5016</v>
      </c>
      <c r="E66" s="144">
        <v>7.47982</v>
      </c>
      <c r="F66" s="144"/>
      <c r="G66" s="144">
        <v>405.2</v>
      </c>
      <c r="H66" s="143" t="s">
        <v>578</v>
      </c>
    </row>
    <row r="67" ht="20.6" customHeight="1" spans="1:8">
      <c r="A67" s="95" t="s">
        <v>1067</v>
      </c>
      <c r="B67" s="96" t="s">
        <v>680</v>
      </c>
      <c r="C67" s="147">
        <f t="shared" si="1"/>
        <v>1186.304528</v>
      </c>
      <c r="D67" s="144">
        <v>1060.53896</v>
      </c>
      <c r="E67" s="144">
        <v>95.765568</v>
      </c>
      <c r="F67" s="144"/>
      <c r="G67" s="144">
        <v>30</v>
      </c>
      <c r="H67" s="143" t="s">
        <v>578</v>
      </c>
    </row>
    <row r="68" ht="20.6" customHeight="1" spans="1:8">
      <c r="A68" s="95" t="s">
        <v>1068</v>
      </c>
      <c r="B68" s="96" t="s">
        <v>681</v>
      </c>
      <c r="C68" s="147">
        <f t="shared" si="1"/>
        <v>3139.415345</v>
      </c>
      <c r="D68" s="144">
        <v>1422.067345</v>
      </c>
      <c r="E68" s="144">
        <v>0.548</v>
      </c>
      <c r="F68" s="144"/>
      <c r="G68" s="144">
        <v>1716.8</v>
      </c>
      <c r="H68" s="143" t="s">
        <v>578</v>
      </c>
    </row>
    <row r="69" ht="20.6" customHeight="1" spans="1:8">
      <c r="A69" s="95" t="s">
        <v>1069</v>
      </c>
      <c r="B69" s="96" t="s">
        <v>682</v>
      </c>
      <c r="C69" s="147">
        <f t="shared" si="1"/>
        <v>565.79007</v>
      </c>
      <c r="D69" s="144">
        <v>565.79007</v>
      </c>
      <c r="E69" s="144"/>
      <c r="F69" s="144"/>
      <c r="G69" s="144"/>
      <c r="H69" s="143" t="s">
        <v>578</v>
      </c>
    </row>
    <row r="70" ht="20.6" customHeight="1" spans="1:8">
      <c r="A70" s="95" t="s">
        <v>1070</v>
      </c>
      <c r="B70" s="90" t="s">
        <v>683</v>
      </c>
      <c r="C70" s="147">
        <f t="shared" si="1"/>
        <v>421.160813</v>
      </c>
      <c r="D70" s="144">
        <v>421.160813</v>
      </c>
      <c r="E70" s="144"/>
      <c r="F70" s="144"/>
      <c r="G70" s="144"/>
      <c r="H70" s="143" t="s">
        <v>578</v>
      </c>
    </row>
    <row r="71" ht="20.6" customHeight="1" spans="1:8">
      <c r="A71" s="95" t="s">
        <v>1071</v>
      </c>
      <c r="B71" s="90" t="s">
        <v>684</v>
      </c>
      <c r="C71" s="147">
        <f t="shared" ref="C71:C134" si="5">D71+E71+F71+G71</f>
        <v>717.319034</v>
      </c>
      <c r="D71" s="144">
        <v>717.319034</v>
      </c>
      <c r="E71" s="144"/>
      <c r="F71" s="144"/>
      <c r="G71" s="144"/>
      <c r="H71" s="143" t="s">
        <v>578</v>
      </c>
    </row>
    <row r="72" ht="20.6" customHeight="1" spans="1:8">
      <c r="A72" s="95" t="s">
        <v>1072</v>
      </c>
      <c r="B72" s="90" t="s">
        <v>2192</v>
      </c>
      <c r="C72" s="147">
        <f t="shared" si="5"/>
        <v>636.014182</v>
      </c>
      <c r="D72" s="144">
        <v>636.014182</v>
      </c>
      <c r="E72" s="144"/>
      <c r="F72" s="144"/>
      <c r="G72" s="144"/>
      <c r="H72" s="143" t="s">
        <v>578</v>
      </c>
    </row>
    <row r="73" ht="20.6" customHeight="1" spans="1:8">
      <c r="A73" s="95" t="s">
        <v>1073</v>
      </c>
      <c r="B73" s="90" t="s">
        <v>686</v>
      </c>
      <c r="C73" s="147">
        <f t="shared" si="5"/>
        <v>417.223786</v>
      </c>
      <c r="D73" s="144">
        <v>417.223786</v>
      </c>
      <c r="E73" s="144"/>
      <c r="F73" s="144"/>
      <c r="G73" s="144"/>
      <c r="H73" s="143" t="s">
        <v>578</v>
      </c>
    </row>
    <row r="74" ht="20.6" customHeight="1" spans="1:8">
      <c r="A74" s="95" t="s">
        <v>1074</v>
      </c>
      <c r="B74" s="90" t="s">
        <v>687</v>
      </c>
      <c r="C74" s="147">
        <f t="shared" si="5"/>
        <v>448.758538</v>
      </c>
      <c r="D74" s="144">
        <v>448.758538</v>
      </c>
      <c r="E74" s="144"/>
      <c r="F74" s="144"/>
      <c r="G74" s="144"/>
      <c r="H74" s="143" t="s">
        <v>578</v>
      </c>
    </row>
    <row r="75" ht="20.6" customHeight="1" spans="1:8">
      <c r="A75" s="95" t="s">
        <v>1075</v>
      </c>
      <c r="B75" s="90" t="s">
        <v>688</v>
      </c>
      <c r="C75" s="147">
        <f t="shared" si="5"/>
        <v>377.67</v>
      </c>
      <c r="D75" s="144">
        <v>377.67</v>
      </c>
      <c r="E75" s="144"/>
      <c r="F75" s="144"/>
      <c r="G75" s="144"/>
      <c r="H75" s="143" t="s">
        <v>578</v>
      </c>
    </row>
    <row r="76" ht="20.6" customHeight="1" spans="1:8">
      <c r="A76" s="95" t="s">
        <v>1076</v>
      </c>
      <c r="B76" s="90" t="s">
        <v>689</v>
      </c>
      <c r="C76" s="147">
        <f t="shared" si="5"/>
        <v>386.035514</v>
      </c>
      <c r="D76" s="144">
        <v>386.035514</v>
      </c>
      <c r="E76" s="144"/>
      <c r="F76" s="144"/>
      <c r="G76" s="144"/>
      <c r="H76" s="143" t="s">
        <v>578</v>
      </c>
    </row>
    <row r="77" ht="20.6" customHeight="1" spans="1:8">
      <c r="A77" s="95" t="s">
        <v>1077</v>
      </c>
      <c r="B77" s="90" t="s">
        <v>2193</v>
      </c>
      <c r="C77" s="147">
        <f t="shared" si="5"/>
        <v>1371.863082</v>
      </c>
      <c r="D77" s="144">
        <v>1368.193082</v>
      </c>
      <c r="E77" s="144">
        <v>0.17</v>
      </c>
      <c r="F77" s="144">
        <v>3.5</v>
      </c>
      <c r="G77" s="144"/>
      <c r="H77" s="143" t="s">
        <v>578</v>
      </c>
    </row>
    <row r="78" ht="20.6" customHeight="1" spans="1:8">
      <c r="A78" s="95" t="s">
        <v>1078</v>
      </c>
      <c r="B78" s="90" t="s">
        <v>691</v>
      </c>
      <c r="C78" s="147">
        <f t="shared" si="5"/>
        <v>385.396918</v>
      </c>
      <c r="D78" s="144">
        <v>385.396918</v>
      </c>
      <c r="E78" s="144"/>
      <c r="F78" s="144"/>
      <c r="G78" s="144"/>
      <c r="H78" s="143" t="s">
        <v>578</v>
      </c>
    </row>
    <row r="79" ht="20.6" customHeight="1" spans="1:8">
      <c r="A79" s="95" t="s">
        <v>1079</v>
      </c>
      <c r="B79" s="90" t="s">
        <v>692</v>
      </c>
      <c r="C79" s="147">
        <f t="shared" si="5"/>
        <v>465.588374</v>
      </c>
      <c r="D79" s="144">
        <v>465.588374</v>
      </c>
      <c r="E79" s="144"/>
      <c r="F79" s="144"/>
      <c r="G79" s="144"/>
      <c r="H79" s="143" t="s">
        <v>578</v>
      </c>
    </row>
    <row r="80" ht="20.6" customHeight="1" spans="1:8">
      <c r="A80" s="95" t="s">
        <v>1080</v>
      </c>
      <c r="B80" s="90" t="s">
        <v>693</v>
      </c>
      <c r="C80" s="147">
        <f t="shared" si="5"/>
        <v>558.40917</v>
      </c>
      <c r="D80" s="144">
        <v>558.40917</v>
      </c>
      <c r="E80" s="144"/>
      <c r="F80" s="144"/>
      <c r="G80" s="144"/>
      <c r="H80" s="143" t="s">
        <v>578</v>
      </c>
    </row>
    <row r="81" ht="20.6" customHeight="1" spans="1:8">
      <c r="A81" s="95" t="s">
        <v>1081</v>
      </c>
      <c r="B81" s="90" t="s">
        <v>694</v>
      </c>
      <c r="C81" s="147">
        <f t="shared" si="5"/>
        <v>394.647664</v>
      </c>
      <c r="D81" s="144">
        <v>394.647664</v>
      </c>
      <c r="E81" s="144"/>
      <c r="F81" s="144"/>
      <c r="G81" s="144"/>
      <c r="H81" s="143" t="s">
        <v>578</v>
      </c>
    </row>
    <row r="82" ht="20.6" customHeight="1" spans="1:8">
      <c r="A82" s="95" t="s">
        <v>1082</v>
      </c>
      <c r="B82" s="90" t="s">
        <v>695</v>
      </c>
      <c r="C82" s="147">
        <f t="shared" si="5"/>
        <v>39.130525</v>
      </c>
      <c r="D82" s="144">
        <v>39.130525</v>
      </c>
      <c r="E82" s="144"/>
      <c r="F82" s="144"/>
      <c r="G82" s="144"/>
      <c r="H82" s="143" t="s">
        <v>578</v>
      </c>
    </row>
    <row r="83" ht="20.6" customHeight="1" spans="1:8">
      <c r="A83" s="95" t="s">
        <v>1083</v>
      </c>
      <c r="B83" s="96" t="s">
        <v>696</v>
      </c>
      <c r="C83" s="147">
        <f t="shared" si="5"/>
        <v>240.429066</v>
      </c>
      <c r="D83" s="144">
        <v>240.429066</v>
      </c>
      <c r="E83" s="144"/>
      <c r="F83" s="144"/>
      <c r="G83" s="144"/>
      <c r="H83" s="143" t="s">
        <v>578</v>
      </c>
    </row>
    <row r="84" ht="20.6" customHeight="1" spans="1:8">
      <c r="A84" s="95" t="s">
        <v>1084</v>
      </c>
      <c r="B84" s="96" t="s">
        <v>697</v>
      </c>
      <c r="C84" s="147">
        <f t="shared" si="5"/>
        <v>4320.362915</v>
      </c>
      <c r="D84" s="144">
        <v>383.284827</v>
      </c>
      <c r="E84" s="144">
        <v>35.278088</v>
      </c>
      <c r="F84" s="144">
        <v>180</v>
      </c>
      <c r="G84" s="144">
        <v>3721.8</v>
      </c>
      <c r="H84" s="143" t="s">
        <v>578</v>
      </c>
    </row>
    <row r="85" ht="20.6" customHeight="1" spans="1:8">
      <c r="A85" s="95" t="s">
        <v>1085</v>
      </c>
      <c r="B85" s="96" t="s">
        <v>698</v>
      </c>
      <c r="C85" s="147">
        <f t="shared" si="5"/>
        <v>139.311978</v>
      </c>
      <c r="D85" s="144">
        <v>87.524166</v>
      </c>
      <c r="E85" s="144">
        <v>16.287812</v>
      </c>
      <c r="F85" s="144"/>
      <c r="G85" s="144">
        <v>35.5</v>
      </c>
      <c r="H85" s="143" t="s">
        <v>578</v>
      </c>
    </row>
    <row r="86" s="117" customFormat="1" ht="20.6" customHeight="1" spans="1:8">
      <c r="A86" s="145"/>
      <c r="B86" s="82" t="s">
        <v>699</v>
      </c>
      <c r="C86" s="102">
        <f t="shared" si="5"/>
        <v>37359.287183</v>
      </c>
      <c r="D86" s="146">
        <f t="shared" ref="D86:G86" si="6">SUM(D87:D104)</f>
        <v>15496.049311</v>
      </c>
      <c r="E86" s="146">
        <f t="shared" si="6"/>
        <v>1455.524783</v>
      </c>
      <c r="F86" s="146">
        <f t="shared" si="6"/>
        <v>5755.190411</v>
      </c>
      <c r="G86" s="146">
        <f t="shared" si="6"/>
        <v>14652.522678</v>
      </c>
      <c r="H86" s="143" t="s">
        <v>578</v>
      </c>
    </row>
    <row r="87" ht="20.6" customHeight="1" spans="1:8">
      <c r="A87" s="95" t="s">
        <v>2194</v>
      </c>
      <c r="B87" s="96" t="s">
        <v>700</v>
      </c>
      <c r="C87" s="147">
        <f t="shared" si="5"/>
        <v>2511.691597</v>
      </c>
      <c r="D87" s="144">
        <v>1492.955017</v>
      </c>
      <c r="E87" s="144">
        <v>144.43658</v>
      </c>
      <c r="F87" s="144">
        <v>350</v>
      </c>
      <c r="G87" s="144">
        <v>524.3</v>
      </c>
      <c r="H87" s="143" t="s">
        <v>578</v>
      </c>
    </row>
    <row r="88" ht="20.6" customHeight="1" spans="1:8">
      <c r="A88" s="95" t="s">
        <v>2195</v>
      </c>
      <c r="B88" s="96" t="s">
        <v>701</v>
      </c>
      <c r="C88" s="147">
        <f t="shared" si="5"/>
        <v>4923.084423</v>
      </c>
      <c r="D88" s="144">
        <v>3199.832767</v>
      </c>
      <c r="E88" s="144">
        <v>285.451656</v>
      </c>
      <c r="F88" s="144">
        <v>919.052</v>
      </c>
      <c r="G88" s="144">
        <v>518.748</v>
      </c>
      <c r="H88" s="143" t="s">
        <v>578</v>
      </c>
    </row>
    <row r="89" ht="20.6" customHeight="1" spans="1:8">
      <c r="A89" s="95" t="s">
        <v>2196</v>
      </c>
      <c r="B89" s="96" t="s">
        <v>702</v>
      </c>
      <c r="C89" s="147">
        <f t="shared" si="5"/>
        <v>368.739681</v>
      </c>
      <c r="D89" s="144">
        <v>239.221485</v>
      </c>
      <c r="E89" s="144">
        <v>20.818196</v>
      </c>
      <c r="F89" s="144"/>
      <c r="G89" s="144">
        <v>108.7</v>
      </c>
      <c r="H89" s="143" t="s">
        <v>578</v>
      </c>
    </row>
    <row r="90" ht="20.6" customHeight="1" spans="1:8">
      <c r="A90" s="95" t="s">
        <v>2197</v>
      </c>
      <c r="B90" s="96" t="s">
        <v>703</v>
      </c>
      <c r="C90" s="147">
        <f t="shared" si="5"/>
        <v>212.1021</v>
      </c>
      <c r="D90" s="144">
        <v>132.8268</v>
      </c>
      <c r="E90" s="144">
        <v>9.2753</v>
      </c>
      <c r="F90" s="144"/>
      <c r="G90" s="144">
        <v>70</v>
      </c>
      <c r="H90" s="143" t="s">
        <v>578</v>
      </c>
    </row>
    <row r="91" ht="20.6" customHeight="1" spans="1:8">
      <c r="A91" s="95" t="s">
        <v>2198</v>
      </c>
      <c r="B91" s="96" t="s">
        <v>704</v>
      </c>
      <c r="C91" s="147">
        <f t="shared" si="5"/>
        <v>10238.429154</v>
      </c>
      <c r="D91" s="144">
        <v>569.041132</v>
      </c>
      <c r="E91" s="144">
        <v>64.493344</v>
      </c>
      <c r="F91" s="144">
        <v>2716.25</v>
      </c>
      <c r="G91" s="144">
        <v>6888.644678</v>
      </c>
      <c r="H91" s="143" t="s">
        <v>578</v>
      </c>
    </row>
    <row r="92" ht="20.6" customHeight="1" spans="1:8">
      <c r="A92" s="95" t="s">
        <v>2199</v>
      </c>
      <c r="B92" s="96" t="s">
        <v>705</v>
      </c>
      <c r="C92" s="147">
        <f t="shared" si="5"/>
        <v>1292.129373</v>
      </c>
      <c r="D92" s="144">
        <v>253.472554</v>
      </c>
      <c r="E92" s="144">
        <v>18.378408</v>
      </c>
      <c r="F92" s="144">
        <v>1003.598411</v>
      </c>
      <c r="G92" s="144">
        <v>16.68</v>
      </c>
      <c r="H92" s="143" t="s">
        <v>578</v>
      </c>
    </row>
    <row r="93" ht="20.6" customHeight="1" spans="1:8">
      <c r="A93" s="95" t="s">
        <v>2200</v>
      </c>
      <c r="B93" s="96" t="s">
        <v>706</v>
      </c>
      <c r="C93" s="147">
        <f t="shared" si="5"/>
        <v>771.393407</v>
      </c>
      <c r="D93" s="144">
        <v>45.607253</v>
      </c>
      <c r="E93" s="144">
        <v>8.686154</v>
      </c>
      <c r="F93" s="144">
        <v>76</v>
      </c>
      <c r="G93" s="144">
        <v>641.1</v>
      </c>
      <c r="H93" s="143" t="s">
        <v>578</v>
      </c>
    </row>
    <row r="94" ht="20.6" customHeight="1" spans="1:8">
      <c r="A94" s="95" t="s">
        <v>2201</v>
      </c>
      <c r="B94" s="96" t="s">
        <v>707</v>
      </c>
      <c r="C94" s="147">
        <f t="shared" si="5"/>
        <v>139.970963</v>
      </c>
      <c r="D94" s="144">
        <v>106.763723</v>
      </c>
      <c r="E94" s="144">
        <v>13.20724</v>
      </c>
      <c r="F94" s="144"/>
      <c r="G94" s="144">
        <v>20</v>
      </c>
      <c r="H94" s="143" t="s">
        <v>578</v>
      </c>
    </row>
    <row r="95" ht="20.6" customHeight="1" spans="1:8">
      <c r="A95" s="95" t="s">
        <v>2202</v>
      </c>
      <c r="B95" s="96" t="s">
        <v>2203</v>
      </c>
      <c r="C95" s="147">
        <f t="shared" si="5"/>
        <v>1042.332064</v>
      </c>
      <c r="D95" s="144">
        <v>729.474672</v>
      </c>
      <c r="E95" s="144">
        <v>71.357392</v>
      </c>
      <c r="F95" s="144"/>
      <c r="G95" s="144">
        <v>241.5</v>
      </c>
      <c r="H95" s="143" t="s">
        <v>578</v>
      </c>
    </row>
    <row r="96" ht="20.6" customHeight="1" spans="1:8">
      <c r="A96" s="95" t="s">
        <v>2204</v>
      </c>
      <c r="B96" s="96" t="s">
        <v>709</v>
      </c>
      <c r="C96" s="147">
        <f t="shared" si="5"/>
        <v>1656.48391</v>
      </c>
      <c r="D96" s="144">
        <v>847.742808</v>
      </c>
      <c r="E96" s="144">
        <v>45.911102</v>
      </c>
      <c r="F96" s="144">
        <v>633.03</v>
      </c>
      <c r="G96" s="144">
        <v>129.8</v>
      </c>
      <c r="H96" s="143" t="s">
        <v>578</v>
      </c>
    </row>
    <row r="97" ht="20.6" customHeight="1" spans="1:8">
      <c r="A97" s="95" t="s">
        <v>2205</v>
      </c>
      <c r="B97" s="96" t="s">
        <v>710</v>
      </c>
      <c r="C97" s="147">
        <f t="shared" si="5"/>
        <v>713.705826</v>
      </c>
      <c r="D97" s="144">
        <v>502.004824</v>
      </c>
      <c r="E97" s="144">
        <v>53.131002</v>
      </c>
      <c r="F97" s="144"/>
      <c r="G97" s="144">
        <v>158.57</v>
      </c>
      <c r="H97" s="143" t="s">
        <v>578</v>
      </c>
    </row>
    <row r="98" ht="20.6" customHeight="1" spans="1:8">
      <c r="A98" s="95" t="s">
        <v>2206</v>
      </c>
      <c r="B98" s="96" t="s">
        <v>2207</v>
      </c>
      <c r="C98" s="147">
        <f t="shared" si="5"/>
        <v>3282.178172</v>
      </c>
      <c r="D98" s="144">
        <v>2609.88004</v>
      </c>
      <c r="E98" s="144">
        <v>162.798132</v>
      </c>
      <c r="F98" s="144"/>
      <c r="G98" s="144">
        <v>509.5</v>
      </c>
      <c r="H98" s="143" t="s">
        <v>578</v>
      </c>
    </row>
    <row r="99" ht="20.6" customHeight="1" spans="1:8">
      <c r="A99" s="95" t="s">
        <v>2208</v>
      </c>
      <c r="B99" s="96" t="s">
        <v>2209</v>
      </c>
      <c r="C99" s="147">
        <f t="shared" si="5"/>
        <v>759.80127</v>
      </c>
      <c r="D99" s="144">
        <v>421.836453</v>
      </c>
      <c r="E99" s="144">
        <v>27.964817</v>
      </c>
      <c r="F99" s="144"/>
      <c r="G99" s="144">
        <v>310</v>
      </c>
      <c r="H99" s="143" t="s">
        <v>578</v>
      </c>
    </row>
    <row r="100" ht="20.6" customHeight="1" spans="1:8">
      <c r="A100" s="95" t="s">
        <v>2210</v>
      </c>
      <c r="B100" s="96" t="s">
        <v>713</v>
      </c>
      <c r="C100" s="147">
        <f t="shared" si="5"/>
        <v>1900.757813</v>
      </c>
      <c r="D100" s="144">
        <v>1135.693107</v>
      </c>
      <c r="E100" s="144">
        <v>154.064706</v>
      </c>
      <c r="F100" s="144"/>
      <c r="G100" s="144">
        <v>611</v>
      </c>
      <c r="H100" s="143" t="s">
        <v>578</v>
      </c>
    </row>
    <row r="101" ht="20.6" customHeight="1" spans="1:8">
      <c r="A101" s="95" t="s">
        <v>2211</v>
      </c>
      <c r="B101" s="96" t="s">
        <v>714</v>
      </c>
      <c r="C101" s="147">
        <f t="shared" si="5"/>
        <v>533.796521</v>
      </c>
      <c r="D101" s="144">
        <v>457.592763</v>
      </c>
      <c r="E101" s="144">
        <v>30.203758</v>
      </c>
      <c r="F101" s="144"/>
      <c r="G101" s="144">
        <v>46</v>
      </c>
      <c r="H101" s="143" t="s">
        <v>578</v>
      </c>
    </row>
    <row r="102" ht="20.6" customHeight="1" spans="1:8">
      <c r="A102" s="95" t="s">
        <v>2212</v>
      </c>
      <c r="B102" s="96" t="s">
        <v>715</v>
      </c>
      <c r="C102" s="147">
        <f t="shared" si="5"/>
        <v>4094.315689</v>
      </c>
      <c r="D102" s="144">
        <v>980.727485</v>
      </c>
      <c r="E102" s="144">
        <v>105.958204</v>
      </c>
      <c r="F102" s="144"/>
      <c r="G102" s="144">
        <v>3007.63</v>
      </c>
      <c r="H102" s="143" t="s">
        <v>578</v>
      </c>
    </row>
    <row r="103" ht="20.6" customHeight="1" spans="1:8">
      <c r="A103" s="95" t="s">
        <v>2213</v>
      </c>
      <c r="B103" s="96" t="s">
        <v>716</v>
      </c>
      <c r="C103" s="147">
        <f t="shared" si="5"/>
        <v>652.514293</v>
      </c>
      <c r="D103" s="144">
        <v>438.935349</v>
      </c>
      <c r="E103" s="144">
        <v>58.818944</v>
      </c>
      <c r="F103" s="144">
        <v>57.26</v>
      </c>
      <c r="G103" s="144">
        <v>97.5</v>
      </c>
      <c r="H103" s="143" t="s">
        <v>578</v>
      </c>
    </row>
    <row r="104" ht="20.6" customHeight="1" spans="1:8">
      <c r="A104" s="95" t="s">
        <v>2214</v>
      </c>
      <c r="B104" s="96" t="s">
        <v>717</v>
      </c>
      <c r="C104" s="147">
        <f t="shared" si="5"/>
        <v>2265.860927</v>
      </c>
      <c r="D104" s="144">
        <v>1332.441079</v>
      </c>
      <c r="E104" s="144">
        <v>180.569848</v>
      </c>
      <c r="F104" s="144"/>
      <c r="G104" s="144">
        <v>752.85</v>
      </c>
      <c r="H104" s="143" t="s">
        <v>578</v>
      </c>
    </row>
    <row r="105" s="117" customFormat="1" ht="20.6" customHeight="1" spans="1:8">
      <c r="A105" s="145"/>
      <c r="B105" s="82" t="s">
        <v>718</v>
      </c>
      <c r="C105" s="102">
        <f t="shared" si="5"/>
        <v>13121.080681</v>
      </c>
      <c r="D105" s="146">
        <f t="shared" ref="D105:G105" si="7">SUM(D106:D109)</f>
        <v>9446.643622</v>
      </c>
      <c r="E105" s="146">
        <f t="shared" si="7"/>
        <v>853.947059</v>
      </c>
      <c r="F105" s="146">
        <f t="shared" si="7"/>
        <v>0</v>
      </c>
      <c r="G105" s="146">
        <f t="shared" si="7"/>
        <v>2820.49</v>
      </c>
      <c r="H105" s="143" t="s">
        <v>578</v>
      </c>
    </row>
    <row r="106" ht="20.6" customHeight="1" spans="1:8">
      <c r="A106" s="95" t="s">
        <v>719</v>
      </c>
      <c r="B106" s="96" t="s">
        <v>1086</v>
      </c>
      <c r="C106" s="147">
        <f t="shared" si="5"/>
        <v>12694.24997</v>
      </c>
      <c r="D106" s="144">
        <v>9262.596467</v>
      </c>
      <c r="E106" s="144">
        <v>836.553503</v>
      </c>
      <c r="F106" s="144"/>
      <c r="G106" s="144">
        <f>2595.1</f>
        <v>2595.1</v>
      </c>
      <c r="H106" s="143" t="s">
        <v>578</v>
      </c>
    </row>
    <row r="107" ht="20.6" customHeight="1" spans="1:8">
      <c r="A107" s="95" t="s">
        <v>721</v>
      </c>
      <c r="B107" s="151" t="s">
        <v>2215</v>
      </c>
      <c r="C107" s="147">
        <f t="shared" si="5"/>
        <v>50</v>
      </c>
      <c r="D107" s="144"/>
      <c r="E107" s="144"/>
      <c r="F107" s="144"/>
      <c r="G107" s="144">
        <v>50</v>
      </c>
      <c r="H107" s="143" t="s">
        <v>578</v>
      </c>
    </row>
    <row r="108" ht="20.6" customHeight="1" spans="1:8">
      <c r="A108" s="95" t="s">
        <v>723</v>
      </c>
      <c r="B108" s="151" t="s">
        <v>2216</v>
      </c>
      <c r="C108" s="147">
        <f t="shared" si="5"/>
        <v>175.39</v>
      </c>
      <c r="D108" s="144"/>
      <c r="E108" s="144"/>
      <c r="F108" s="144"/>
      <c r="G108" s="144">
        <v>175.39</v>
      </c>
      <c r="H108" s="143" t="s">
        <v>578</v>
      </c>
    </row>
    <row r="109" ht="20.6" customHeight="1" spans="1:8">
      <c r="A109" s="95" t="s">
        <v>725</v>
      </c>
      <c r="B109" s="96" t="s">
        <v>726</v>
      </c>
      <c r="C109" s="147">
        <f t="shared" si="5"/>
        <v>201.440711</v>
      </c>
      <c r="D109" s="144">
        <v>184.047155</v>
      </c>
      <c r="E109" s="144">
        <v>17.393556</v>
      </c>
      <c r="F109" s="144"/>
      <c r="G109" s="144"/>
      <c r="H109" s="143" t="s">
        <v>578</v>
      </c>
    </row>
    <row r="110" s="117" customFormat="1" ht="20.6" customHeight="1" spans="1:8">
      <c r="A110" s="145"/>
      <c r="B110" s="82" t="s">
        <v>727</v>
      </c>
      <c r="C110" s="102">
        <f t="shared" si="5"/>
        <v>7533.996939</v>
      </c>
      <c r="D110" s="146">
        <f t="shared" ref="D110:G110" si="8">SUM(D111:D118)</f>
        <v>3719.873087</v>
      </c>
      <c r="E110" s="146">
        <f t="shared" si="8"/>
        <v>363.623852</v>
      </c>
      <c r="F110" s="146">
        <f t="shared" si="8"/>
        <v>0</v>
      </c>
      <c r="G110" s="146">
        <f t="shared" si="8"/>
        <v>3450.5</v>
      </c>
      <c r="H110" s="143" t="s">
        <v>578</v>
      </c>
    </row>
    <row r="111" ht="20.6" customHeight="1" spans="1:8">
      <c r="A111" s="95" t="s">
        <v>2217</v>
      </c>
      <c r="B111" s="96" t="s">
        <v>728</v>
      </c>
      <c r="C111" s="147">
        <f t="shared" si="5"/>
        <v>522.720461</v>
      </c>
      <c r="D111" s="144">
        <v>418.501257</v>
      </c>
      <c r="E111" s="144">
        <v>48.719204</v>
      </c>
      <c r="F111" s="144"/>
      <c r="G111" s="144">
        <v>55.5</v>
      </c>
      <c r="H111" s="143" t="s">
        <v>578</v>
      </c>
    </row>
    <row r="112" ht="20.6" customHeight="1" spans="1:8">
      <c r="A112" s="95" t="s">
        <v>2218</v>
      </c>
      <c r="B112" s="96" t="s">
        <v>729</v>
      </c>
      <c r="C112" s="147">
        <f t="shared" si="5"/>
        <v>376.77459</v>
      </c>
      <c r="D112" s="144">
        <v>343.093198</v>
      </c>
      <c r="E112" s="144">
        <v>27.681392</v>
      </c>
      <c r="F112" s="144"/>
      <c r="G112" s="144">
        <v>6</v>
      </c>
      <c r="H112" s="143" t="s">
        <v>578</v>
      </c>
    </row>
    <row r="113" ht="20.6" customHeight="1" spans="1:8">
      <c r="A113" s="95" t="s">
        <v>2219</v>
      </c>
      <c r="B113" s="96" t="s">
        <v>730</v>
      </c>
      <c r="C113" s="147">
        <f t="shared" si="5"/>
        <v>544.00277</v>
      </c>
      <c r="D113" s="144">
        <v>504.722768</v>
      </c>
      <c r="E113" s="144">
        <v>39.280002</v>
      </c>
      <c r="F113" s="144"/>
      <c r="G113" s="144"/>
      <c r="H113" s="143" t="s">
        <v>578</v>
      </c>
    </row>
    <row r="114" ht="20.6" customHeight="1" spans="1:8">
      <c r="A114" s="95" t="s">
        <v>2220</v>
      </c>
      <c r="B114" s="96" t="s">
        <v>731</v>
      </c>
      <c r="C114" s="147">
        <f t="shared" si="5"/>
        <v>463.959602</v>
      </c>
      <c r="D114" s="144">
        <v>412.111768</v>
      </c>
      <c r="E114" s="144">
        <v>38.847834</v>
      </c>
      <c r="F114" s="144"/>
      <c r="G114" s="144">
        <v>13</v>
      </c>
      <c r="H114" s="143" t="s">
        <v>578</v>
      </c>
    </row>
    <row r="115" ht="20.6" customHeight="1" spans="1:8">
      <c r="A115" s="95" t="s">
        <v>2221</v>
      </c>
      <c r="B115" s="96" t="s">
        <v>732</v>
      </c>
      <c r="C115" s="147">
        <f t="shared" si="5"/>
        <v>1024.967907</v>
      </c>
      <c r="D115" s="144">
        <v>515.914291</v>
      </c>
      <c r="E115" s="144">
        <v>53.053616</v>
      </c>
      <c r="F115" s="144"/>
      <c r="G115" s="144">
        <v>456</v>
      </c>
      <c r="H115" s="143" t="s">
        <v>578</v>
      </c>
    </row>
    <row r="116" ht="20.6" customHeight="1" spans="1:8">
      <c r="A116" s="95" t="s">
        <v>2222</v>
      </c>
      <c r="B116" s="96" t="s">
        <v>733</v>
      </c>
      <c r="C116" s="147">
        <f t="shared" si="5"/>
        <v>993.673988</v>
      </c>
      <c r="D116" s="144">
        <v>586.520892</v>
      </c>
      <c r="E116" s="144">
        <v>72.153096</v>
      </c>
      <c r="F116" s="144"/>
      <c r="G116" s="144">
        <v>335</v>
      </c>
      <c r="H116" s="143" t="s">
        <v>578</v>
      </c>
    </row>
    <row r="117" ht="20.6" customHeight="1" spans="1:8">
      <c r="A117" s="95" t="s">
        <v>2223</v>
      </c>
      <c r="B117" s="96" t="s">
        <v>734</v>
      </c>
      <c r="C117" s="147">
        <f t="shared" si="5"/>
        <v>3122.682394</v>
      </c>
      <c r="D117" s="144">
        <v>505.984382</v>
      </c>
      <c r="E117" s="144">
        <v>52.698012</v>
      </c>
      <c r="F117" s="144"/>
      <c r="G117" s="144">
        <v>2564</v>
      </c>
      <c r="H117" s="143" t="s">
        <v>578</v>
      </c>
    </row>
    <row r="118" ht="20.6" customHeight="1" spans="1:8">
      <c r="A118" s="95" t="s">
        <v>2224</v>
      </c>
      <c r="B118" s="96" t="s">
        <v>735</v>
      </c>
      <c r="C118" s="147">
        <f t="shared" si="5"/>
        <v>485.215227</v>
      </c>
      <c r="D118" s="144">
        <v>433.024531</v>
      </c>
      <c r="E118" s="144">
        <v>31.190696</v>
      </c>
      <c r="F118" s="144"/>
      <c r="G118" s="144">
        <v>21</v>
      </c>
      <c r="H118" s="143" t="s">
        <v>578</v>
      </c>
    </row>
    <row r="119" s="117" customFormat="1" ht="20.6" customHeight="1" spans="1:8">
      <c r="A119" s="145"/>
      <c r="B119" s="82" t="s">
        <v>736</v>
      </c>
      <c r="C119" s="102">
        <f t="shared" si="5"/>
        <v>148869.46939</v>
      </c>
      <c r="D119" s="146">
        <f t="shared" ref="D119:G119" si="9">SUM(D120:D186)</f>
        <v>125665.070162</v>
      </c>
      <c r="E119" s="146">
        <f t="shared" si="9"/>
        <v>13575.695061</v>
      </c>
      <c r="F119" s="146">
        <f t="shared" si="9"/>
        <v>133</v>
      </c>
      <c r="G119" s="146">
        <f t="shared" si="9"/>
        <v>9495.704167</v>
      </c>
      <c r="H119" s="143" t="s">
        <v>578</v>
      </c>
    </row>
    <row r="120" ht="20.6" customHeight="1" spans="1:8">
      <c r="A120" s="95" t="s">
        <v>1087</v>
      </c>
      <c r="B120" s="96" t="s">
        <v>737</v>
      </c>
      <c r="C120" s="147">
        <f t="shared" si="5"/>
        <v>383.315409</v>
      </c>
      <c r="D120" s="144">
        <v>341.210879</v>
      </c>
      <c r="E120" s="144">
        <v>42.10453</v>
      </c>
      <c r="F120" s="144"/>
      <c r="G120" s="144"/>
      <c r="H120" s="143" t="s">
        <v>578</v>
      </c>
    </row>
    <row r="121" ht="20.6" customHeight="1" spans="1:8">
      <c r="A121" s="95" t="s">
        <v>1088</v>
      </c>
      <c r="B121" s="96" t="s">
        <v>738</v>
      </c>
      <c r="C121" s="147">
        <f t="shared" si="5"/>
        <v>2125.557169</v>
      </c>
      <c r="D121" s="144">
        <v>465.963427</v>
      </c>
      <c r="E121" s="144">
        <v>55.093742</v>
      </c>
      <c r="F121" s="144">
        <v>40</v>
      </c>
      <c r="G121" s="144">
        <v>1564.5</v>
      </c>
      <c r="H121" s="143" t="s">
        <v>578</v>
      </c>
    </row>
    <row r="122" ht="20.6" customHeight="1" spans="1:8">
      <c r="A122" s="95" t="s">
        <v>1089</v>
      </c>
      <c r="B122" s="96" t="s">
        <v>739</v>
      </c>
      <c r="C122" s="147">
        <f t="shared" si="5"/>
        <v>388.358238</v>
      </c>
      <c r="D122" s="144">
        <v>329.715954</v>
      </c>
      <c r="E122" s="144">
        <v>29.642284</v>
      </c>
      <c r="F122" s="144"/>
      <c r="G122" s="144">
        <v>29</v>
      </c>
      <c r="H122" s="143" t="s">
        <v>578</v>
      </c>
    </row>
    <row r="123" ht="20.6" customHeight="1" spans="1:8">
      <c r="A123" s="95" t="s">
        <v>1091</v>
      </c>
      <c r="B123" s="96" t="s">
        <v>740</v>
      </c>
      <c r="C123" s="147">
        <f t="shared" si="5"/>
        <v>428.270902</v>
      </c>
      <c r="D123" s="144">
        <v>374.830844</v>
      </c>
      <c r="E123" s="144">
        <v>22.440058</v>
      </c>
      <c r="F123" s="144"/>
      <c r="G123" s="144">
        <v>31</v>
      </c>
      <c r="H123" s="143" t="s">
        <v>578</v>
      </c>
    </row>
    <row r="124" ht="20.6" customHeight="1" spans="1:8">
      <c r="A124" s="95" t="s">
        <v>1092</v>
      </c>
      <c r="B124" s="96" t="s">
        <v>741</v>
      </c>
      <c r="C124" s="147">
        <f t="shared" si="5"/>
        <v>141.67911</v>
      </c>
      <c r="D124" s="144">
        <v>128.925239</v>
      </c>
      <c r="E124" s="144">
        <v>7.753871</v>
      </c>
      <c r="F124" s="144"/>
      <c r="G124" s="144">
        <v>5</v>
      </c>
      <c r="H124" s="143" t="s">
        <v>578</v>
      </c>
    </row>
    <row r="125" ht="20.6" customHeight="1" spans="1:8">
      <c r="A125" s="95" t="s">
        <v>1093</v>
      </c>
      <c r="B125" s="96" t="s">
        <v>742</v>
      </c>
      <c r="C125" s="147">
        <f t="shared" si="5"/>
        <v>390.393842</v>
      </c>
      <c r="D125" s="144">
        <v>319.692918</v>
      </c>
      <c r="E125" s="144">
        <v>21.700924</v>
      </c>
      <c r="F125" s="144"/>
      <c r="G125" s="144">
        <v>49</v>
      </c>
      <c r="H125" s="143" t="s">
        <v>578</v>
      </c>
    </row>
    <row r="126" ht="20.6" customHeight="1" spans="1:8">
      <c r="A126" s="95" t="s">
        <v>1094</v>
      </c>
      <c r="B126" s="96" t="s">
        <v>743</v>
      </c>
      <c r="C126" s="147">
        <f t="shared" si="5"/>
        <v>1043.509753</v>
      </c>
      <c r="D126" s="144">
        <v>778.592239</v>
      </c>
      <c r="E126" s="144">
        <v>41.417514</v>
      </c>
      <c r="F126" s="144"/>
      <c r="G126" s="144">
        <v>223.5</v>
      </c>
      <c r="H126" s="143" t="s">
        <v>578</v>
      </c>
    </row>
    <row r="127" ht="20.6" customHeight="1" spans="1:8">
      <c r="A127" s="95" t="s">
        <v>1095</v>
      </c>
      <c r="B127" s="96" t="s">
        <v>744</v>
      </c>
      <c r="C127" s="147">
        <f t="shared" si="5"/>
        <v>173.591753</v>
      </c>
      <c r="D127" s="144">
        <v>159.643929</v>
      </c>
      <c r="E127" s="144">
        <v>9.147824</v>
      </c>
      <c r="F127" s="144"/>
      <c r="G127" s="144">
        <v>4.8</v>
      </c>
      <c r="H127" s="143" t="s">
        <v>578</v>
      </c>
    </row>
    <row r="128" ht="20.6" customHeight="1" spans="1:8">
      <c r="A128" s="95" t="s">
        <v>1096</v>
      </c>
      <c r="B128" s="96" t="s">
        <v>745</v>
      </c>
      <c r="C128" s="147">
        <f t="shared" si="5"/>
        <v>749.069164</v>
      </c>
      <c r="D128" s="144">
        <v>275.562924</v>
      </c>
      <c r="E128" s="144">
        <v>43.50624</v>
      </c>
      <c r="F128" s="144"/>
      <c r="G128" s="144">
        <v>430</v>
      </c>
      <c r="H128" s="143" t="s">
        <v>578</v>
      </c>
    </row>
    <row r="129" ht="20.6" customHeight="1" spans="1:8">
      <c r="A129" s="95" t="s">
        <v>1097</v>
      </c>
      <c r="B129" s="96" t="s">
        <v>746</v>
      </c>
      <c r="C129" s="147">
        <f t="shared" si="5"/>
        <v>3107.919889</v>
      </c>
      <c r="D129" s="144">
        <v>1626.87676</v>
      </c>
      <c r="E129" s="144">
        <v>191.366962</v>
      </c>
      <c r="F129" s="144">
        <v>93</v>
      </c>
      <c r="G129" s="144">
        <v>1196.676167</v>
      </c>
      <c r="H129" s="143" t="s">
        <v>578</v>
      </c>
    </row>
    <row r="130" ht="20.6" customHeight="1" spans="1:8">
      <c r="A130" s="95" t="s">
        <v>1098</v>
      </c>
      <c r="B130" s="96" t="s">
        <v>747</v>
      </c>
      <c r="C130" s="147">
        <f t="shared" si="5"/>
        <v>3554.98443</v>
      </c>
      <c r="D130" s="144">
        <v>406.879074</v>
      </c>
      <c r="E130" s="144">
        <v>37.625356</v>
      </c>
      <c r="F130" s="144"/>
      <c r="G130" s="144">
        <v>3110.48</v>
      </c>
      <c r="H130" s="143" t="s">
        <v>578</v>
      </c>
    </row>
    <row r="131" ht="20.6" customHeight="1" spans="1:8">
      <c r="A131" s="95" t="s">
        <v>1099</v>
      </c>
      <c r="B131" s="96" t="s">
        <v>748</v>
      </c>
      <c r="C131" s="147">
        <f t="shared" si="5"/>
        <v>1009.913407</v>
      </c>
      <c r="D131" s="144">
        <v>163.262627</v>
      </c>
      <c r="E131" s="144">
        <v>11.65078</v>
      </c>
      <c r="F131" s="144"/>
      <c r="G131" s="144">
        <v>835</v>
      </c>
      <c r="H131" s="143" t="s">
        <v>578</v>
      </c>
    </row>
    <row r="132" ht="20.6" customHeight="1" spans="1:8">
      <c r="A132" s="95" t="s">
        <v>1100</v>
      </c>
      <c r="B132" s="96" t="s">
        <v>2225</v>
      </c>
      <c r="C132" s="147">
        <f t="shared" si="5"/>
        <v>255.551932</v>
      </c>
      <c r="D132" s="144">
        <v>133.123438</v>
      </c>
      <c r="E132" s="144">
        <v>7.428494</v>
      </c>
      <c r="F132" s="144"/>
      <c r="G132" s="144">
        <v>115</v>
      </c>
      <c r="H132" s="143" t="s">
        <v>578</v>
      </c>
    </row>
    <row r="133" ht="20.6" customHeight="1" spans="1:8">
      <c r="A133" s="95" t="s">
        <v>1101</v>
      </c>
      <c r="B133" s="96" t="s">
        <v>2226</v>
      </c>
      <c r="C133" s="147">
        <f t="shared" si="5"/>
        <v>601.006641</v>
      </c>
      <c r="D133" s="144">
        <v>521.7826</v>
      </c>
      <c r="E133" s="144">
        <v>28.224041</v>
      </c>
      <c r="F133" s="144"/>
      <c r="G133" s="144">
        <v>51</v>
      </c>
      <c r="H133" s="143" t="s">
        <v>578</v>
      </c>
    </row>
    <row r="134" ht="20.6" customHeight="1" spans="1:8">
      <c r="A134" s="95" t="s">
        <v>1102</v>
      </c>
      <c r="B134" s="96" t="s">
        <v>2227</v>
      </c>
      <c r="C134" s="147">
        <f t="shared" si="5"/>
        <v>379.170151</v>
      </c>
      <c r="D134" s="144">
        <v>261.402502</v>
      </c>
      <c r="E134" s="144">
        <v>16.267649</v>
      </c>
      <c r="F134" s="144"/>
      <c r="G134" s="144">
        <v>101.5</v>
      </c>
      <c r="H134" s="143" t="s">
        <v>578</v>
      </c>
    </row>
    <row r="135" ht="20.6" customHeight="1" spans="1:8">
      <c r="A135" s="95" t="s">
        <v>1103</v>
      </c>
      <c r="B135" s="96" t="s">
        <v>752</v>
      </c>
      <c r="C135" s="147">
        <f t="shared" ref="C135:C198" si="10">D135+E135+F135+G135</f>
        <v>181.518528</v>
      </c>
      <c r="D135" s="144">
        <v>117.307987</v>
      </c>
      <c r="E135" s="144">
        <v>6.210541</v>
      </c>
      <c r="F135" s="144"/>
      <c r="G135" s="144">
        <v>58</v>
      </c>
      <c r="H135" s="143" t="s">
        <v>578</v>
      </c>
    </row>
    <row r="136" ht="20.6" customHeight="1" spans="1:8">
      <c r="A136" s="95" t="s">
        <v>1104</v>
      </c>
      <c r="B136" s="96" t="s">
        <v>753</v>
      </c>
      <c r="C136" s="147">
        <f t="shared" si="10"/>
        <v>2026.660331</v>
      </c>
      <c r="D136" s="144">
        <v>1806.913177</v>
      </c>
      <c r="E136" s="144">
        <v>150.247154</v>
      </c>
      <c r="F136" s="144"/>
      <c r="G136" s="144">
        <v>69.5</v>
      </c>
      <c r="H136" s="143" t="s">
        <v>578</v>
      </c>
    </row>
    <row r="137" ht="20.6" customHeight="1" spans="1:8">
      <c r="A137" s="95" t="s">
        <v>1105</v>
      </c>
      <c r="B137" s="96" t="s">
        <v>754</v>
      </c>
      <c r="C137" s="147">
        <f t="shared" si="10"/>
        <v>657.051481</v>
      </c>
      <c r="D137" s="144">
        <v>450.680142</v>
      </c>
      <c r="E137" s="144">
        <v>206.371339</v>
      </c>
      <c r="F137" s="144"/>
      <c r="G137" s="144"/>
      <c r="H137" s="143" t="s">
        <v>578</v>
      </c>
    </row>
    <row r="138" ht="20.6" customHeight="1" spans="1:8">
      <c r="A138" s="95" t="s">
        <v>1107</v>
      </c>
      <c r="B138" s="96" t="s">
        <v>755</v>
      </c>
      <c r="C138" s="147">
        <f t="shared" si="10"/>
        <v>2145.714825</v>
      </c>
      <c r="D138" s="144">
        <v>1942.429645</v>
      </c>
      <c r="E138" s="144">
        <v>203.28518</v>
      </c>
      <c r="F138" s="144"/>
      <c r="G138" s="144"/>
      <c r="H138" s="143" t="s">
        <v>578</v>
      </c>
    </row>
    <row r="139" ht="20.6" customHeight="1" spans="1:8">
      <c r="A139" s="95" t="s">
        <v>1108</v>
      </c>
      <c r="B139" s="96" t="s">
        <v>756</v>
      </c>
      <c r="C139" s="147">
        <f t="shared" si="10"/>
        <v>3405.093576</v>
      </c>
      <c r="D139" s="144">
        <v>3100.552184</v>
      </c>
      <c r="E139" s="144">
        <v>304.541392</v>
      </c>
      <c r="F139" s="144"/>
      <c r="G139" s="144"/>
      <c r="H139" s="143" t="s">
        <v>578</v>
      </c>
    </row>
    <row r="140" ht="20.6" customHeight="1" spans="1:8">
      <c r="A140" s="95" t="s">
        <v>1109</v>
      </c>
      <c r="B140" s="96" t="s">
        <v>757</v>
      </c>
      <c r="C140" s="147">
        <f t="shared" si="10"/>
        <v>1648.155264</v>
      </c>
      <c r="D140" s="144">
        <v>1478.576405</v>
      </c>
      <c r="E140" s="144">
        <v>169.578859</v>
      </c>
      <c r="F140" s="144"/>
      <c r="G140" s="144"/>
      <c r="H140" s="143" t="s">
        <v>578</v>
      </c>
    </row>
    <row r="141" ht="20.6" customHeight="1" spans="1:8">
      <c r="A141" s="95" t="s">
        <v>1110</v>
      </c>
      <c r="B141" s="96" t="s">
        <v>758</v>
      </c>
      <c r="C141" s="147">
        <f t="shared" si="10"/>
        <v>990.77945</v>
      </c>
      <c r="D141" s="144">
        <v>901.151528</v>
      </c>
      <c r="E141" s="144">
        <v>89.627922</v>
      </c>
      <c r="F141" s="144"/>
      <c r="G141" s="144"/>
      <c r="H141" s="143" t="s">
        <v>578</v>
      </c>
    </row>
    <row r="142" ht="20.6" customHeight="1" spans="1:8">
      <c r="A142" s="95" t="s">
        <v>1111</v>
      </c>
      <c r="B142" s="96" t="s">
        <v>759</v>
      </c>
      <c r="C142" s="147">
        <f t="shared" si="10"/>
        <v>1926.19263</v>
      </c>
      <c r="D142" s="144">
        <v>1729.338541</v>
      </c>
      <c r="E142" s="144">
        <v>196.854089</v>
      </c>
      <c r="F142" s="144"/>
      <c r="G142" s="144"/>
      <c r="H142" s="143" t="s">
        <v>578</v>
      </c>
    </row>
    <row r="143" ht="20.6" customHeight="1" spans="1:8">
      <c r="A143" s="95" t="s">
        <v>1112</v>
      </c>
      <c r="B143" s="96" t="s">
        <v>760</v>
      </c>
      <c r="C143" s="147">
        <f t="shared" si="10"/>
        <v>771.302463</v>
      </c>
      <c r="D143" s="144">
        <v>600.72021</v>
      </c>
      <c r="E143" s="144">
        <v>108.784253</v>
      </c>
      <c r="F143" s="144"/>
      <c r="G143" s="144">
        <v>61.798</v>
      </c>
      <c r="H143" s="143" t="s">
        <v>578</v>
      </c>
    </row>
    <row r="144" ht="20.6" customHeight="1" spans="1:8">
      <c r="A144" s="95" t="s">
        <v>1113</v>
      </c>
      <c r="B144" s="96" t="s">
        <v>761</v>
      </c>
      <c r="C144" s="147">
        <f t="shared" si="10"/>
        <v>3305.212597</v>
      </c>
      <c r="D144" s="144">
        <v>2943.006473</v>
      </c>
      <c r="E144" s="144">
        <v>362.206124</v>
      </c>
      <c r="F144" s="144"/>
      <c r="G144" s="144"/>
      <c r="H144" s="143" t="s">
        <v>578</v>
      </c>
    </row>
    <row r="145" ht="20.6" customHeight="1" spans="1:8">
      <c r="A145" s="95" t="s">
        <v>1114</v>
      </c>
      <c r="B145" s="96" t="s">
        <v>762</v>
      </c>
      <c r="C145" s="147">
        <f t="shared" si="10"/>
        <v>4597.302965</v>
      </c>
      <c r="D145" s="144">
        <v>4126.49014</v>
      </c>
      <c r="E145" s="144">
        <v>444.562825</v>
      </c>
      <c r="F145" s="144"/>
      <c r="G145" s="144">
        <v>26.25</v>
      </c>
      <c r="H145" s="143" t="s">
        <v>578</v>
      </c>
    </row>
    <row r="146" ht="20.6" customHeight="1" spans="1:8">
      <c r="A146" s="95" t="s">
        <v>1115</v>
      </c>
      <c r="B146" s="96" t="s">
        <v>763</v>
      </c>
      <c r="C146" s="147">
        <f t="shared" si="10"/>
        <v>2812.172263</v>
      </c>
      <c r="D146" s="144">
        <v>2563.653956</v>
      </c>
      <c r="E146" s="144">
        <v>248.518307</v>
      </c>
      <c r="F146" s="144"/>
      <c r="G146" s="144"/>
      <c r="H146" s="143" t="s">
        <v>578</v>
      </c>
    </row>
    <row r="147" ht="20.6" customHeight="1" spans="1:8">
      <c r="A147" s="95" t="s">
        <v>1116</v>
      </c>
      <c r="B147" s="96" t="s">
        <v>764</v>
      </c>
      <c r="C147" s="147">
        <f t="shared" si="10"/>
        <v>5506.108764</v>
      </c>
      <c r="D147" s="144">
        <v>4775.093206</v>
      </c>
      <c r="E147" s="144">
        <v>531.015558</v>
      </c>
      <c r="F147" s="144"/>
      <c r="G147" s="144">
        <v>200</v>
      </c>
      <c r="H147" s="143" t="s">
        <v>578</v>
      </c>
    </row>
    <row r="148" ht="20.6" customHeight="1" spans="1:8">
      <c r="A148" s="95" t="s">
        <v>1117</v>
      </c>
      <c r="B148" s="96" t="s">
        <v>765</v>
      </c>
      <c r="C148" s="147">
        <f t="shared" si="10"/>
        <v>5846.695023</v>
      </c>
      <c r="D148" s="144">
        <v>5173.513431</v>
      </c>
      <c r="E148" s="144">
        <v>566.981592</v>
      </c>
      <c r="F148" s="144"/>
      <c r="G148" s="144">
        <v>106.2</v>
      </c>
      <c r="H148" s="143" t="s">
        <v>578</v>
      </c>
    </row>
    <row r="149" ht="20.6" customHeight="1" spans="1:8">
      <c r="A149" s="95" t="s">
        <v>1118</v>
      </c>
      <c r="B149" s="96" t="s">
        <v>766</v>
      </c>
      <c r="C149" s="147">
        <f t="shared" si="10"/>
        <v>4228.418217</v>
      </c>
      <c r="D149" s="144">
        <v>3605.265513</v>
      </c>
      <c r="E149" s="144">
        <v>485.152704</v>
      </c>
      <c r="F149" s="144"/>
      <c r="G149" s="144">
        <v>138</v>
      </c>
      <c r="H149" s="143" t="s">
        <v>578</v>
      </c>
    </row>
    <row r="150" ht="20.6" customHeight="1" spans="1:8">
      <c r="A150" s="95" t="s">
        <v>1119</v>
      </c>
      <c r="B150" s="96" t="s">
        <v>767</v>
      </c>
      <c r="C150" s="147">
        <f t="shared" si="10"/>
        <v>2965.141872</v>
      </c>
      <c r="D150" s="144">
        <v>2512.142526</v>
      </c>
      <c r="E150" s="144">
        <v>269.999346</v>
      </c>
      <c r="F150" s="144"/>
      <c r="G150" s="144">
        <v>183</v>
      </c>
      <c r="H150" s="143" t="s">
        <v>578</v>
      </c>
    </row>
    <row r="151" ht="20.6" customHeight="1" spans="1:8">
      <c r="A151" s="95" t="s">
        <v>1120</v>
      </c>
      <c r="B151" s="96" t="s">
        <v>768</v>
      </c>
      <c r="C151" s="147">
        <f t="shared" si="10"/>
        <v>343.649753</v>
      </c>
      <c r="D151" s="144">
        <v>317.754509</v>
      </c>
      <c r="E151" s="144">
        <v>25.895244</v>
      </c>
      <c r="F151" s="144"/>
      <c r="G151" s="144"/>
      <c r="H151" s="143" t="s">
        <v>578</v>
      </c>
    </row>
    <row r="152" ht="20.6" customHeight="1" spans="1:8">
      <c r="A152" s="95" t="s">
        <v>1121</v>
      </c>
      <c r="B152" s="96" t="s">
        <v>769</v>
      </c>
      <c r="C152" s="147">
        <f t="shared" si="10"/>
        <v>974.610307</v>
      </c>
      <c r="D152" s="144">
        <v>937.022245</v>
      </c>
      <c r="E152" s="144">
        <v>37.588062</v>
      </c>
      <c r="F152" s="144"/>
      <c r="G152" s="144"/>
      <c r="H152" s="143" t="s">
        <v>578</v>
      </c>
    </row>
    <row r="153" ht="20.6" customHeight="1" spans="1:8">
      <c r="A153" s="95" t="s">
        <v>1122</v>
      </c>
      <c r="B153" s="96" t="s">
        <v>770</v>
      </c>
      <c r="C153" s="147">
        <f t="shared" si="10"/>
        <v>348.998949</v>
      </c>
      <c r="D153" s="144">
        <v>336.572548</v>
      </c>
      <c r="E153" s="144">
        <v>12.426401</v>
      </c>
      <c r="F153" s="144"/>
      <c r="G153" s="144"/>
      <c r="H153" s="143" t="s">
        <v>578</v>
      </c>
    </row>
    <row r="154" ht="20.6" customHeight="1" spans="1:8">
      <c r="A154" s="95" t="s">
        <v>1123</v>
      </c>
      <c r="B154" s="96" t="s">
        <v>771</v>
      </c>
      <c r="C154" s="147">
        <f t="shared" si="10"/>
        <v>3154.725281</v>
      </c>
      <c r="D154" s="144">
        <v>2846.603439</v>
      </c>
      <c r="E154" s="144">
        <v>308.121842</v>
      </c>
      <c r="F154" s="144"/>
      <c r="G154" s="144"/>
      <c r="H154" s="143" t="s">
        <v>578</v>
      </c>
    </row>
    <row r="155" ht="20.6" customHeight="1" spans="1:8">
      <c r="A155" s="95" t="s">
        <v>1124</v>
      </c>
      <c r="B155" s="96" t="s">
        <v>772</v>
      </c>
      <c r="C155" s="147">
        <f t="shared" si="10"/>
        <v>9056.550165</v>
      </c>
      <c r="D155" s="144">
        <v>8175.710308</v>
      </c>
      <c r="E155" s="144">
        <v>880.839857</v>
      </c>
      <c r="F155" s="144"/>
      <c r="G155" s="144"/>
      <c r="H155" s="143" t="s">
        <v>578</v>
      </c>
    </row>
    <row r="156" ht="20.6" customHeight="1" spans="1:8">
      <c r="A156" s="95" t="s">
        <v>1125</v>
      </c>
      <c r="B156" s="96" t="s">
        <v>773</v>
      </c>
      <c r="C156" s="147">
        <f t="shared" si="10"/>
        <v>5555.333522</v>
      </c>
      <c r="D156" s="144">
        <v>5023.267626</v>
      </c>
      <c r="E156" s="144">
        <v>532.065896</v>
      </c>
      <c r="F156" s="144"/>
      <c r="G156" s="144"/>
      <c r="H156" s="143" t="s">
        <v>578</v>
      </c>
    </row>
    <row r="157" ht="20.6" customHeight="1" spans="1:8">
      <c r="A157" s="95" t="s">
        <v>1126</v>
      </c>
      <c r="B157" s="96" t="s">
        <v>774</v>
      </c>
      <c r="C157" s="147">
        <f t="shared" si="10"/>
        <v>4652.891885</v>
      </c>
      <c r="D157" s="144">
        <v>4292.333332</v>
      </c>
      <c r="E157" s="144">
        <v>360.558553</v>
      </c>
      <c r="F157" s="144"/>
      <c r="G157" s="144"/>
      <c r="H157" s="143" t="s">
        <v>578</v>
      </c>
    </row>
    <row r="158" ht="20.6" customHeight="1" spans="1:8">
      <c r="A158" s="95" t="s">
        <v>1127</v>
      </c>
      <c r="B158" s="96" t="s">
        <v>775</v>
      </c>
      <c r="C158" s="147">
        <f t="shared" si="10"/>
        <v>4567.621189</v>
      </c>
      <c r="D158" s="144">
        <v>4308.337292</v>
      </c>
      <c r="E158" s="144">
        <v>259.283897</v>
      </c>
      <c r="F158" s="144"/>
      <c r="G158" s="144"/>
      <c r="H158" s="143" t="s">
        <v>578</v>
      </c>
    </row>
    <row r="159" ht="20.6" customHeight="1" spans="1:8">
      <c r="A159" s="95" t="s">
        <v>1128</v>
      </c>
      <c r="B159" s="96" t="s">
        <v>776</v>
      </c>
      <c r="C159" s="147">
        <f t="shared" si="10"/>
        <v>3387.16332</v>
      </c>
      <c r="D159" s="144">
        <v>3094.80321</v>
      </c>
      <c r="E159" s="144">
        <v>292.36011</v>
      </c>
      <c r="F159" s="144"/>
      <c r="G159" s="144"/>
      <c r="H159" s="143" t="s">
        <v>578</v>
      </c>
    </row>
    <row r="160" ht="20.6" customHeight="1" spans="1:8">
      <c r="A160" s="95" t="s">
        <v>1129</v>
      </c>
      <c r="B160" s="96" t="s">
        <v>777</v>
      </c>
      <c r="C160" s="147">
        <f t="shared" si="10"/>
        <v>4842.541846</v>
      </c>
      <c r="D160" s="144">
        <v>4456.811888</v>
      </c>
      <c r="E160" s="144">
        <v>385.729958</v>
      </c>
      <c r="F160" s="144"/>
      <c r="G160" s="144"/>
      <c r="H160" s="143" t="s">
        <v>578</v>
      </c>
    </row>
    <row r="161" ht="20.6" customHeight="1" spans="1:8">
      <c r="A161" s="95" t="s">
        <v>1130</v>
      </c>
      <c r="B161" s="96" t="s">
        <v>778</v>
      </c>
      <c r="C161" s="147">
        <f t="shared" si="10"/>
        <v>6498.064521</v>
      </c>
      <c r="D161" s="144">
        <v>5919.718429</v>
      </c>
      <c r="E161" s="144">
        <v>578.346092</v>
      </c>
      <c r="F161" s="144"/>
      <c r="G161" s="144"/>
      <c r="H161" s="143" t="s">
        <v>578</v>
      </c>
    </row>
    <row r="162" ht="20.6" customHeight="1" spans="1:8">
      <c r="A162" s="95" t="s">
        <v>1131</v>
      </c>
      <c r="B162" s="96" t="s">
        <v>779</v>
      </c>
      <c r="C162" s="147">
        <f t="shared" si="10"/>
        <v>3208.652894</v>
      </c>
      <c r="D162" s="144">
        <v>2958.95131</v>
      </c>
      <c r="E162" s="144">
        <v>249.701584</v>
      </c>
      <c r="F162" s="144"/>
      <c r="G162" s="144"/>
      <c r="H162" s="143" t="s">
        <v>578</v>
      </c>
    </row>
    <row r="163" ht="20.6" customHeight="1" spans="1:8">
      <c r="A163" s="95" t="s">
        <v>1132</v>
      </c>
      <c r="B163" s="96" t="s">
        <v>780</v>
      </c>
      <c r="C163" s="147">
        <f t="shared" si="10"/>
        <v>3617.999725</v>
      </c>
      <c r="D163" s="144">
        <v>3299.339112</v>
      </c>
      <c r="E163" s="144">
        <v>318.660613</v>
      </c>
      <c r="F163" s="144"/>
      <c r="G163" s="144"/>
      <c r="H163" s="143" t="s">
        <v>578</v>
      </c>
    </row>
    <row r="164" ht="20.6" customHeight="1" spans="1:8">
      <c r="A164" s="95" t="s">
        <v>1133</v>
      </c>
      <c r="B164" s="96" t="s">
        <v>2228</v>
      </c>
      <c r="C164" s="147">
        <f t="shared" si="10"/>
        <v>6004.741638</v>
      </c>
      <c r="D164" s="144">
        <v>5649.997306</v>
      </c>
      <c r="E164" s="144">
        <v>354.744332</v>
      </c>
      <c r="F164" s="144"/>
      <c r="G164" s="144"/>
      <c r="H164" s="143" t="s">
        <v>578</v>
      </c>
    </row>
    <row r="165" ht="20.6" customHeight="1" spans="1:8">
      <c r="A165" s="95" t="s">
        <v>1134</v>
      </c>
      <c r="B165" s="96" t="s">
        <v>782</v>
      </c>
      <c r="C165" s="147">
        <f t="shared" si="10"/>
        <v>4369.61317</v>
      </c>
      <c r="D165" s="144">
        <v>4079.3928</v>
      </c>
      <c r="E165" s="144">
        <v>290.22037</v>
      </c>
      <c r="F165" s="144"/>
      <c r="G165" s="144"/>
      <c r="H165" s="143" t="s">
        <v>578</v>
      </c>
    </row>
    <row r="166" ht="20.6" customHeight="1" spans="1:8">
      <c r="A166" s="95" t="s">
        <v>1135</v>
      </c>
      <c r="B166" s="96" t="s">
        <v>783</v>
      </c>
      <c r="C166" s="147">
        <f t="shared" si="10"/>
        <v>564.237415</v>
      </c>
      <c r="D166" s="144">
        <v>531.950882</v>
      </c>
      <c r="E166" s="144">
        <v>32.286533</v>
      </c>
      <c r="F166" s="144"/>
      <c r="G166" s="144"/>
      <c r="H166" s="143" t="s">
        <v>578</v>
      </c>
    </row>
    <row r="167" ht="20.6" customHeight="1" spans="1:8">
      <c r="A167" s="95" t="s">
        <v>1136</v>
      </c>
      <c r="B167" s="96" t="s">
        <v>784</v>
      </c>
      <c r="C167" s="147">
        <f t="shared" si="10"/>
        <v>1290.771307</v>
      </c>
      <c r="D167" s="144">
        <v>1081.266635</v>
      </c>
      <c r="E167" s="144">
        <v>209.504672</v>
      </c>
      <c r="F167" s="144"/>
      <c r="G167" s="144"/>
      <c r="H167" s="143" t="s">
        <v>578</v>
      </c>
    </row>
    <row r="168" ht="20.6" customHeight="1" spans="1:8">
      <c r="A168" s="95" t="s">
        <v>1138</v>
      </c>
      <c r="B168" s="96" t="s">
        <v>785</v>
      </c>
      <c r="C168" s="147">
        <f t="shared" si="10"/>
        <v>1664.02679</v>
      </c>
      <c r="D168" s="144">
        <v>1449.719538</v>
      </c>
      <c r="E168" s="144">
        <v>214.307252</v>
      </c>
      <c r="F168" s="144"/>
      <c r="G168" s="144"/>
      <c r="H168" s="143" t="s">
        <v>578</v>
      </c>
    </row>
    <row r="169" ht="20.6" customHeight="1" spans="1:8">
      <c r="A169" s="95" t="s">
        <v>1139</v>
      </c>
      <c r="B169" s="96" t="s">
        <v>786</v>
      </c>
      <c r="C169" s="147">
        <f t="shared" si="10"/>
        <v>1109.922751</v>
      </c>
      <c r="D169" s="144">
        <v>996.131305</v>
      </c>
      <c r="E169" s="144">
        <v>113.791446</v>
      </c>
      <c r="F169" s="144"/>
      <c r="G169" s="144"/>
      <c r="H169" s="143" t="s">
        <v>578</v>
      </c>
    </row>
    <row r="170" ht="20.6" customHeight="1" spans="1:8">
      <c r="A170" s="95" t="s">
        <v>1140</v>
      </c>
      <c r="B170" s="96" t="s">
        <v>787</v>
      </c>
      <c r="C170" s="147">
        <f t="shared" si="10"/>
        <v>1164.868644</v>
      </c>
      <c r="D170" s="144">
        <v>1028.497162</v>
      </c>
      <c r="E170" s="144">
        <v>136.371482</v>
      </c>
      <c r="F170" s="144"/>
      <c r="G170" s="144"/>
      <c r="H170" s="143" t="s">
        <v>578</v>
      </c>
    </row>
    <row r="171" ht="20.6" customHeight="1" spans="1:8">
      <c r="A171" s="95" t="s">
        <v>1141</v>
      </c>
      <c r="B171" s="96" t="s">
        <v>788</v>
      </c>
      <c r="C171" s="147">
        <f t="shared" si="10"/>
        <v>2089.970462</v>
      </c>
      <c r="D171" s="144">
        <v>1805.254008</v>
      </c>
      <c r="E171" s="144">
        <v>284.716454</v>
      </c>
      <c r="F171" s="144"/>
      <c r="G171" s="144"/>
      <c r="H171" s="143" t="s">
        <v>578</v>
      </c>
    </row>
    <row r="172" ht="20.6" customHeight="1" spans="1:8">
      <c r="A172" s="95" t="s">
        <v>1142</v>
      </c>
      <c r="B172" s="96" t="s">
        <v>789</v>
      </c>
      <c r="C172" s="147">
        <f t="shared" si="10"/>
        <v>4379.056648</v>
      </c>
      <c r="D172" s="144">
        <v>3808.235304</v>
      </c>
      <c r="E172" s="144">
        <v>563.421344</v>
      </c>
      <c r="F172" s="144"/>
      <c r="G172" s="144">
        <v>7.4</v>
      </c>
      <c r="H172" s="143" t="s">
        <v>578</v>
      </c>
    </row>
    <row r="173" ht="20.6" customHeight="1" spans="1:8">
      <c r="A173" s="95" t="s">
        <v>1143</v>
      </c>
      <c r="B173" s="96" t="s">
        <v>790</v>
      </c>
      <c r="C173" s="147">
        <f t="shared" si="10"/>
        <v>3862.288159</v>
      </c>
      <c r="D173" s="144">
        <v>3468.890648</v>
      </c>
      <c r="E173" s="144">
        <v>393.397511</v>
      </c>
      <c r="F173" s="144"/>
      <c r="G173" s="144"/>
      <c r="H173" s="143" t="s">
        <v>578</v>
      </c>
    </row>
    <row r="174" ht="20.6" customHeight="1" spans="1:8">
      <c r="A174" s="95" t="s">
        <v>1144</v>
      </c>
      <c r="B174" s="96" t="s">
        <v>791</v>
      </c>
      <c r="C174" s="147">
        <f t="shared" si="10"/>
        <v>1516.496526</v>
      </c>
      <c r="D174" s="144">
        <v>1242.745427</v>
      </c>
      <c r="E174" s="144">
        <v>265.751099</v>
      </c>
      <c r="F174" s="144"/>
      <c r="G174" s="144">
        <v>8</v>
      </c>
      <c r="H174" s="143" t="s">
        <v>578</v>
      </c>
    </row>
    <row r="175" ht="20.6" customHeight="1" spans="1:8">
      <c r="A175" s="95" t="s">
        <v>1145</v>
      </c>
      <c r="B175" s="96" t="s">
        <v>792</v>
      </c>
      <c r="C175" s="147">
        <f t="shared" si="10"/>
        <v>1625.258289</v>
      </c>
      <c r="D175" s="144">
        <v>1364.270667</v>
      </c>
      <c r="E175" s="144">
        <v>260.987622</v>
      </c>
      <c r="F175" s="144"/>
      <c r="G175" s="144"/>
      <c r="H175" s="143" t="s">
        <v>578</v>
      </c>
    </row>
    <row r="176" ht="20.6" customHeight="1" spans="1:8">
      <c r="A176" s="95" t="s">
        <v>1146</v>
      </c>
      <c r="B176" s="96" t="s">
        <v>793</v>
      </c>
      <c r="C176" s="147">
        <f t="shared" si="10"/>
        <v>1738.965576</v>
      </c>
      <c r="D176" s="144">
        <v>1488.888294</v>
      </c>
      <c r="E176" s="144">
        <v>250.077282</v>
      </c>
      <c r="F176" s="144"/>
      <c r="G176" s="144"/>
      <c r="H176" s="143" t="s">
        <v>578</v>
      </c>
    </row>
    <row r="177" ht="20.6" customHeight="1" spans="1:8">
      <c r="A177" s="95" t="s">
        <v>1147</v>
      </c>
      <c r="B177" s="96" t="s">
        <v>794</v>
      </c>
      <c r="C177" s="147">
        <f t="shared" si="10"/>
        <v>1730.132537</v>
      </c>
      <c r="D177" s="144">
        <v>1558.640691</v>
      </c>
      <c r="E177" s="144">
        <v>171.491846</v>
      </c>
      <c r="F177" s="144"/>
      <c r="G177" s="144"/>
      <c r="H177" s="143" t="s">
        <v>578</v>
      </c>
    </row>
    <row r="178" ht="20.6" customHeight="1" spans="1:8">
      <c r="A178" s="95" t="s">
        <v>1148</v>
      </c>
      <c r="B178" s="96" t="s">
        <v>795</v>
      </c>
      <c r="C178" s="147">
        <f t="shared" si="10"/>
        <v>1297.986569</v>
      </c>
      <c r="D178" s="144">
        <v>1199.336779</v>
      </c>
      <c r="E178" s="144">
        <v>98.64979</v>
      </c>
      <c r="F178" s="144"/>
      <c r="G178" s="144"/>
      <c r="H178" s="143" t="s">
        <v>578</v>
      </c>
    </row>
    <row r="179" ht="20.6" customHeight="1" spans="1:8">
      <c r="A179" s="95" t="s">
        <v>1149</v>
      </c>
      <c r="B179" s="96" t="s">
        <v>796</v>
      </c>
      <c r="C179" s="147">
        <f t="shared" si="10"/>
        <v>2560.781376</v>
      </c>
      <c r="D179" s="144">
        <v>2256.923673</v>
      </c>
      <c r="E179" s="144">
        <v>303.857703</v>
      </c>
      <c r="F179" s="144"/>
      <c r="G179" s="144"/>
      <c r="H179" s="143" t="s">
        <v>578</v>
      </c>
    </row>
    <row r="180" ht="20.6" customHeight="1" spans="1:8">
      <c r="A180" s="95" t="s">
        <v>1150</v>
      </c>
      <c r="B180" s="96" t="s">
        <v>797</v>
      </c>
      <c r="C180" s="147">
        <f t="shared" si="10"/>
        <v>715.08</v>
      </c>
      <c r="D180" s="144">
        <v>427.5</v>
      </c>
      <c r="E180" s="144">
        <v>152.58</v>
      </c>
      <c r="F180" s="144"/>
      <c r="G180" s="144">
        <v>135</v>
      </c>
      <c r="H180" s="143" t="s">
        <v>578</v>
      </c>
    </row>
    <row r="181" ht="20.6" customHeight="1" spans="1:8">
      <c r="A181" s="95" t="s">
        <v>1151</v>
      </c>
      <c r="B181" s="96" t="s">
        <v>798</v>
      </c>
      <c r="C181" s="147">
        <f t="shared" si="10"/>
        <v>326.36</v>
      </c>
      <c r="D181" s="144">
        <v>189</v>
      </c>
      <c r="E181" s="144">
        <v>81.86</v>
      </c>
      <c r="F181" s="144"/>
      <c r="G181" s="144">
        <v>55.5</v>
      </c>
      <c r="H181" s="143" t="s">
        <v>578</v>
      </c>
    </row>
    <row r="182" ht="20.6" customHeight="1" spans="1:8">
      <c r="A182" s="95" t="s">
        <v>1152</v>
      </c>
      <c r="B182" s="96" t="s">
        <v>2229</v>
      </c>
      <c r="C182" s="147">
        <f t="shared" si="10"/>
        <v>585.37102</v>
      </c>
      <c r="D182" s="144">
        <v>417.27663</v>
      </c>
      <c r="E182" s="144">
        <v>48.09439</v>
      </c>
      <c r="F182" s="144"/>
      <c r="G182" s="144">
        <v>120</v>
      </c>
      <c r="H182" s="143" t="s">
        <v>578</v>
      </c>
    </row>
    <row r="183" ht="20.6" customHeight="1" spans="1:8">
      <c r="A183" s="95" t="s">
        <v>1153</v>
      </c>
      <c r="B183" s="96" t="s">
        <v>800</v>
      </c>
      <c r="C183" s="147">
        <f t="shared" si="10"/>
        <v>385.317705</v>
      </c>
      <c r="D183" s="144">
        <v>276.532609</v>
      </c>
      <c r="E183" s="144">
        <v>31.785096</v>
      </c>
      <c r="F183" s="144"/>
      <c r="G183" s="144">
        <v>77</v>
      </c>
      <c r="H183" s="143" t="s">
        <v>578</v>
      </c>
    </row>
    <row r="184" ht="20.6" customHeight="1" spans="1:8">
      <c r="A184" s="95" t="s">
        <v>1154</v>
      </c>
      <c r="B184" s="96" t="s">
        <v>801</v>
      </c>
      <c r="C184" s="147">
        <f t="shared" si="10"/>
        <v>1077.553937</v>
      </c>
      <c r="D184" s="144">
        <v>668.979437</v>
      </c>
      <c r="E184" s="144">
        <v>88.5745</v>
      </c>
      <c r="F184" s="144"/>
      <c r="G184" s="144">
        <v>320</v>
      </c>
      <c r="H184" s="143" t="s">
        <v>578</v>
      </c>
    </row>
    <row r="185" ht="20.6" customHeight="1" spans="1:8">
      <c r="A185" s="95" t="s">
        <v>802</v>
      </c>
      <c r="B185" s="96" t="s">
        <v>1765</v>
      </c>
      <c r="C185" s="147">
        <f t="shared" si="10"/>
        <v>689.705777</v>
      </c>
      <c r="D185" s="144">
        <v>464.112959</v>
      </c>
      <c r="E185" s="144">
        <v>60.992818</v>
      </c>
      <c r="F185" s="144"/>
      <c r="G185" s="144">
        <v>164.6</v>
      </c>
      <c r="H185" s="143" t="s">
        <v>578</v>
      </c>
    </row>
    <row r="186" ht="20.6" customHeight="1" spans="1:8">
      <c r="A186" s="95" t="s">
        <v>804</v>
      </c>
      <c r="B186" s="96" t="s">
        <v>805</v>
      </c>
      <c r="C186" s="147">
        <f t="shared" si="10"/>
        <v>166.347698</v>
      </c>
      <c r="D186" s="144">
        <v>130.001742</v>
      </c>
      <c r="E186" s="144">
        <v>17.345956</v>
      </c>
      <c r="F186" s="144"/>
      <c r="G186" s="144">
        <v>19</v>
      </c>
      <c r="H186" s="143" t="s">
        <v>578</v>
      </c>
    </row>
    <row r="187" s="117" customFormat="1" ht="20.6" customHeight="1" spans="1:8">
      <c r="A187" s="145"/>
      <c r="B187" s="82" t="s">
        <v>806</v>
      </c>
      <c r="C187" s="102">
        <f t="shared" si="10"/>
        <v>9203.27</v>
      </c>
      <c r="D187" s="146">
        <f t="shared" ref="D187:G187" si="11">SUM(D188:D190)</f>
        <v>0</v>
      </c>
      <c r="E187" s="146">
        <f t="shared" si="11"/>
        <v>0</v>
      </c>
      <c r="F187" s="146">
        <f t="shared" si="11"/>
        <v>2640</v>
      </c>
      <c r="G187" s="146">
        <f t="shared" si="11"/>
        <v>6563.27</v>
      </c>
      <c r="H187" s="143" t="s">
        <v>578</v>
      </c>
    </row>
    <row r="188" ht="20.6" customHeight="1" spans="1:8">
      <c r="A188" s="95" t="s">
        <v>2230</v>
      </c>
      <c r="B188" s="90" t="s">
        <v>807</v>
      </c>
      <c r="C188" s="147">
        <f t="shared" si="10"/>
        <v>205</v>
      </c>
      <c r="D188" s="144"/>
      <c r="E188" s="144"/>
      <c r="F188" s="144"/>
      <c r="G188" s="144">
        <v>205</v>
      </c>
      <c r="H188" s="143" t="s">
        <v>578</v>
      </c>
    </row>
    <row r="189" ht="20.6" customHeight="1" spans="1:8">
      <c r="A189" s="95" t="s">
        <v>2231</v>
      </c>
      <c r="B189" s="96" t="s">
        <v>808</v>
      </c>
      <c r="C189" s="147">
        <f t="shared" si="10"/>
        <v>1998.27</v>
      </c>
      <c r="D189" s="144"/>
      <c r="E189" s="144"/>
      <c r="F189" s="144"/>
      <c r="G189" s="144">
        <v>1998.27</v>
      </c>
      <c r="H189" s="143" t="s">
        <v>578</v>
      </c>
    </row>
    <row r="190" ht="20.6" customHeight="1" spans="1:8">
      <c r="A190" s="95" t="s">
        <v>2232</v>
      </c>
      <c r="B190" s="96" t="s">
        <v>809</v>
      </c>
      <c r="C190" s="147">
        <f t="shared" si="10"/>
        <v>7000</v>
      </c>
      <c r="D190" s="144"/>
      <c r="E190" s="144"/>
      <c r="F190" s="144">
        <v>2640</v>
      </c>
      <c r="G190" s="144">
        <v>4360</v>
      </c>
      <c r="H190" s="143" t="s">
        <v>578</v>
      </c>
    </row>
    <row r="191" s="117" customFormat="1" ht="20.6" customHeight="1" spans="1:8">
      <c r="A191" s="145"/>
      <c r="B191" s="82" t="s">
        <v>810</v>
      </c>
      <c r="C191" s="102">
        <f t="shared" si="10"/>
        <v>143805.940183</v>
      </c>
      <c r="D191" s="146">
        <f t="shared" ref="D191:G191" si="12">SUM(D192:D279)</f>
        <v>22406.126567</v>
      </c>
      <c r="E191" s="146">
        <f t="shared" si="12"/>
        <v>2405.932216</v>
      </c>
      <c r="F191" s="146">
        <f t="shared" si="12"/>
        <v>326.68</v>
      </c>
      <c r="G191" s="146">
        <f t="shared" si="12"/>
        <v>118667.2014</v>
      </c>
      <c r="H191" s="143" t="s">
        <v>578</v>
      </c>
    </row>
    <row r="192" ht="16.5" hidden="1" spans="1:7">
      <c r="A192" s="95" t="s">
        <v>812</v>
      </c>
      <c r="B192" s="96" t="s">
        <v>2233</v>
      </c>
      <c r="C192" s="102">
        <f t="shared" si="10"/>
        <v>1463.126741</v>
      </c>
      <c r="D192" s="144">
        <v>578.198945</v>
      </c>
      <c r="E192" s="144">
        <v>73.451796</v>
      </c>
      <c r="F192" s="144"/>
      <c r="G192" s="144">
        <v>811.476</v>
      </c>
    </row>
    <row r="193" ht="16.5" hidden="1" spans="1:7">
      <c r="A193" s="95" t="s">
        <v>814</v>
      </c>
      <c r="B193" s="96" t="s">
        <v>815</v>
      </c>
      <c r="C193" s="102">
        <f t="shared" si="10"/>
        <v>250.633334</v>
      </c>
      <c r="D193" s="144">
        <v>215.919486</v>
      </c>
      <c r="E193" s="144">
        <v>13.013848</v>
      </c>
      <c r="F193" s="144"/>
      <c r="G193" s="144">
        <v>21.7</v>
      </c>
    </row>
    <row r="194" ht="16.5" hidden="1" spans="1:7">
      <c r="A194" s="95" t="s">
        <v>816</v>
      </c>
      <c r="B194" s="96" t="s">
        <v>817</v>
      </c>
      <c r="C194" s="102">
        <f t="shared" si="10"/>
        <v>254.904405</v>
      </c>
      <c r="D194" s="144">
        <v>239.278589</v>
      </c>
      <c r="E194" s="144">
        <v>15.625816</v>
      </c>
      <c r="F194" s="144"/>
      <c r="G194" s="144"/>
    </row>
    <row r="195" ht="16.5" hidden="1" spans="1:7">
      <c r="A195" s="95" t="s">
        <v>818</v>
      </c>
      <c r="B195" s="96" t="s">
        <v>819</v>
      </c>
      <c r="C195" s="102">
        <f t="shared" si="10"/>
        <v>150.714622</v>
      </c>
      <c r="D195" s="144">
        <v>140.740474</v>
      </c>
      <c r="E195" s="144">
        <v>9.974148</v>
      </c>
      <c r="F195" s="144"/>
      <c r="G195" s="144"/>
    </row>
    <row r="196" ht="16.5" hidden="1" spans="1:7">
      <c r="A196" s="95" t="s">
        <v>820</v>
      </c>
      <c r="B196" s="96" t="s">
        <v>821</v>
      </c>
      <c r="C196" s="102">
        <f t="shared" si="10"/>
        <v>65.988893</v>
      </c>
      <c r="D196" s="144">
        <v>61.208269</v>
      </c>
      <c r="E196" s="144">
        <v>4.780624</v>
      </c>
      <c r="F196" s="144"/>
      <c r="G196" s="144"/>
    </row>
    <row r="197" ht="16.5" hidden="1" spans="1:7">
      <c r="A197" s="95" t="s">
        <v>823</v>
      </c>
      <c r="B197" s="96" t="s">
        <v>2234</v>
      </c>
      <c r="C197" s="102">
        <f t="shared" si="10"/>
        <v>21181.964937</v>
      </c>
      <c r="D197" s="144">
        <v>1343.913135</v>
      </c>
      <c r="E197" s="144">
        <v>169.471802</v>
      </c>
      <c r="F197" s="144"/>
      <c r="G197" s="144">
        <v>19668.58</v>
      </c>
    </row>
    <row r="198" ht="16.5" hidden="1" spans="1:7">
      <c r="A198" s="95" t="s">
        <v>825</v>
      </c>
      <c r="B198" s="96" t="s">
        <v>826</v>
      </c>
      <c r="C198" s="102">
        <f t="shared" si="10"/>
        <v>343.083742</v>
      </c>
      <c r="D198" s="144">
        <v>301.517922</v>
      </c>
      <c r="E198" s="144">
        <v>18.56582</v>
      </c>
      <c r="F198" s="144"/>
      <c r="G198" s="144">
        <v>23</v>
      </c>
    </row>
    <row r="199" ht="16.5" hidden="1" spans="1:7">
      <c r="A199" s="95" t="s">
        <v>827</v>
      </c>
      <c r="B199" s="96" t="s">
        <v>828</v>
      </c>
      <c r="C199" s="102">
        <f t="shared" ref="C199:C262" si="13">D199+E199+F199+G199</f>
        <v>18.446455</v>
      </c>
      <c r="D199" s="144">
        <v>16.735059</v>
      </c>
      <c r="E199" s="144">
        <v>1.711396</v>
      </c>
      <c r="F199" s="144"/>
      <c r="G199" s="144"/>
    </row>
    <row r="200" ht="16.5" hidden="1" spans="1:7">
      <c r="A200" s="95" t="s">
        <v>829</v>
      </c>
      <c r="B200" s="96" t="s">
        <v>830</v>
      </c>
      <c r="C200" s="102">
        <f t="shared" si="13"/>
        <v>16.05499</v>
      </c>
      <c r="D200" s="144">
        <v>15.027642</v>
      </c>
      <c r="E200" s="144">
        <v>1.027348</v>
      </c>
      <c r="F200" s="144"/>
      <c r="G200" s="144"/>
    </row>
    <row r="201" ht="16.5" hidden="1" spans="1:7">
      <c r="A201" s="95" t="s">
        <v>831</v>
      </c>
      <c r="B201" s="96" t="s">
        <v>832</v>
      </c>
      <c r="C201" s="102">
        <f t="shared" si="13"/>
        <v>293.566022</v>
      </c>
      <c r="D201" s="144">
        <v>93.45677</v>
      </c>
      <c r="E201" s="144">
        <v>6.109252</v>
      </c>
      <c r="F201" s="144"/>
      <c r="G201" s="144">
        <v>194</v>
      </c>
    </row>
    <row r="202" ht="16.5" hidden="1" spans="1:7">
      <c r="A202" s="95" t="s">
        <v>833</v>
      </c>
      <c r="B202" s="96" t="s">
        <v>834</v>
      </c>
      <c r="C202" s="102">
        <f t="shared" si="13"/>
        <v>706.246358</v>
      </c>
      <c r="D202" s="144">
        <v>99.293126</v>
      </c>
      <c r="E202" s="144">
        <v>6.953232</v>
      </c>
      <c r="F202" s="144"/>
      <c r="G202" s="144">
        <v>600</v>
      </c>
    </row>
    <row r="203" ht="16.5" hidden="1" spans="1:7">
      <c r="A203" s="95" t="s">
        <v>835</v>
      </c>
      <c r="B203" s="96" t="s">
        <v>836</v>
      </c>
      <c r="C203" s="102">
        <f t="shared" si="13"/>
        <v>99.378888</v>
      </c>
      <c r="D203" s="144">
        <v>93.173568</v>
      </c>
      <c r="E203" s="144">
        <v>6.20532</v>
      </c>
      <c r="F203" s="144"/>
      <c r="G203" s="144"/>
    </row>
    <row r="204" ht="16.5" hidden="1" spans="1:7">
      <c r="A204" s="95" t="s">
        <v>838</v>
      </c>
      <c r="B204" s="96" t="s">
        <v>2235</v>
      </c>
      <c r="C204" s="102">
        <f t="shared" si="13"/>
        <v>12944.028123</v>
      </c>
      <c r="D204" s="144">
        <v>988.63033</v>
      </c>
      <c r="E204" s="144">
        <v>132.117793</v>
      </c>
      <c r="F204" s="144"/>
      <c r="G204" s="144">
        <v>11823.28</v>
      </c>
    </row>
    <row r="205" ht="16.5" hidden="1" spans="1:7">
      <c r="A205" s="95" t="s">
        <v>840</v>
      </c>
      <c r="B205" s="96" t="s">
        <v>841</v>
      </c>
      <c r="C205" s="102">
        <f t="shared" si="13"/>
        <v>256.337861</v>
      </c>
      <c r="D205" s="144">
        <v>214.499373</v>
      </c>
      <c r="E205" s="144">
        <v>13.438488</v>
      </c>
      <c r="F205" s="144"/>
      <c r="G205" s="144">
        <v>28.4</v>
      </c>
    </row>
    <row r="206" ht="16.5" hidden="1" spans="1:7">
      <c r="A206" s="95" t="s">
        <v>842</v>
      </c>
      <c r="B206" s="96" t="s">
        <v>843</v>
      </c>
      <c r="C206" s="102">
        <f t="shared" si="13"/>
        <v>15.488086</v>
      </c>
      <c r="D206" s="144">
        <v>14.469018</v>
      </c>
      <c r="E206" s="144">
        <v>1.019068</v>
      </c>
      <c r="F206" s="144"/>
      <c r="G206" s="144"/>
    </row>
    <row r="207" ht="16.5" hidden="1" spans="1:7">
      <c r="A207" s="95" t="s">
        <v>844</v>
      </c>
      <c r="B207" s="96" t="s">
        <v>845</v>
      </c>
      <c r="C207" s="102">
        <f t="shared" si="13"/>
        <v>74.281439</v>
      </c>
      <c r="D207" s="144">
        <v>69.879939</v>
      </c>
      <c r="E207" s="144">
        <v>4.4015</v>
      </c>
      <c r="F207" s="144"/>
      <c r="G207" s="144"/>
    </row>
    <row r="208" ht="16.5" hidden="1" spans="1:7">
      <c r="A208" s="95" t="s">
        <v>846</v>
      </c>
      <c r="B208" s="96" t="s">
        <v>847</v>
      </c>
      <c r="C208" s="102">
        <f t="shared" si="13"/>
        <v>81.350682</v>
      </c>
      <c r="D208" s="144">
        <v>66.571186</v>
      </c>
      <c r="E208" s="144">
        <v>4.279496</v>
      </c>
      <c r="F208" s="144"/>
      <c r="G208" s="144">
        <v>10.5</v>
      </c>
    </row>
    <row r="209" ht="16.5" hidden="1" spans="1:7">
      <c r="A209" s="95" t="s">
        <v>848</v>
      </c>
      <c r="B209" s="96" t="s">
        <v>849</v>
      </c>
      <c r="C209" s="102">
        <f t="shared" si="13"/>
        <v>33.912123</v>
      </c>
      <c r="D209" s="144">
        <v>31.832344</v>
      </c>
      <c r="E209" s="144">
        <v>2.079779</v>
      </c>
      <c r="F209" s="144"/>
      <c r="G209" s="144"/>
    </row>
    <row r="210" ht="16.5" hidden="1" spans="1:7">
      <c r="A210" s="95" t="s">
        <v>851</v>
      </c>
      <c r="B210" s="96" t="s">
        <v>2236</v>
      </c>
      <c r="C210" s="102">
        <f t="shared" si="13"/>
        <v>4310.547894</v>
      </c>
      <c r="D210" s="144">
        <v>733.456804</v>
      </c>
      <c r="E210" s="144">
        <v>99.78109</v>
      </c>
      <c r="F210" s="144"/>
      <c r="G210" s="144">
        <v>3477.31</v>
      </c>
    </row>
    <row r="211" ht="16.5" hidden="1" spans="1:7">
      <c r="A211" s="95" t="s">
        <v>853</v>
      </c>
      <c r="B211" s="96" t="s">
        <v>854</v>
      </c>
      <c r="C211" s="102">
        <f t="shared" si="13"/>
        <v>269.75145</v>
      </c>
      <c r="D211" s="144">
        <v>232.252306</v>
      </c>
      <c r="E211" s="144">
        <v>14.399144</v>
      </c>
      <c r="F211" s="144"/>
      <c r="G211" s="144">
        <v>23.1</v>
      </c>
    </row>
    <row r="212" ht="16.5" hidden="1" spans="1:7">
      <c r="A212" s="95" t="s">
        <v>855</v>
      </c>
      <c r="B212" s="96" t="s">
        <v>856</v>
      </c>
      <c r="C212" s="102">
        <f t="shared" si="13"/>
        <v>15.906661</v>
      </c>
      <c r="D212" s="144">
        <v>14.884237</v>
      </c>
      <c r="E212" s="144">
        <v>1.022424</v>
      </c>
      <c r="F212" s="144"/>
      <c r="G212" s="144"/>
    </row>
    <row r="213" ht="16.5" hidden="1" spans="1:7">
      <c r="A213" s="95" t="s">
        <v>857</v>
      </c>
      <c r="B213" s="96" t="s">
        <v>858</v>
      </c>
      <c r="C213" s="102">
        <f t="shared" si="13"/>
        <v>40.878354</v>
      </c>
      <c r="D213" s="144">
        <v>31.804346</v>
      </c>
      <c r="E213" s="144">
        <v>2.074008</v>
      </c>
      <c r="F213" s="144"/>
      <c r="G213" s="144">
        <v>7</v>
      </c>
    </row>
    <row r="214" ht="16.5" hidden="1" spans="1:7">
      <c r="A214" s="95" t="s">
        <v>859</v>
      </c>
      <c r="B214" s="96" t="s">
        <v>860</v>
      </c>
      <c r="C214" s="102">
        <f t="shared" si="13"/>
        <v>33.533517</v>
      </c>
      <c r="D214" s="144">
        <v>31.464333</v>
      </c>
      <c r="E214" s="144">
        <v>2.069184</v>
      </c>
      <c r="F214" s="144"/>
      <c r="G214" s="144"/>
    </row>
    <row r="215" ht="16.5" hidden="1" spans="1:7">
      <c r="A215" s="95" t="s">
        <v>862</v>
      </c>
      <c r="B215" s="96" t="s">
        <v>2237</v>
      </c>
      <c r="C215" s="102">
        <f t="shared" si="13"/>
        <v>14979.777093</v>
      </c>
      <c r="D215" s="152">
        <v>1129.352887</v>
      </c>
      <c r="E215" s="152">
        <v>143.854206</v>
      </c>
      <c r="F215" s="152"/>
      <c r="G215" s="152">
        <v>13706.57</v>
      </c>
    </row>
    <row r="216" ht="16.5" hidden="1" spans="1:7">
      <c r="A216" s="95" t="s">
        <v>864</v>
      </c>
      <c r="B216" s="96" t="s">
        <v>865</v>
      </c>
      <c r="C216" s="102">
        <f t="shared" si="13"/>
        <v>269.942229</v>
      </c>
      <c r="D216" s="152">
        <v>233.751301</v>
      </c>
      <c r="E216" s="152">
        <v>14.890928</v>
      </c>
      <c r="F216" s="152"/>
      <c r="G216" s="152">
        <v>21.3</v>
      </c>
    </row>
    <row r="217" ht="16.5" hidden="1" spans="1:7">
      <c r="A217" s="95" t="s">
        <v>866</v>
      </c>
      <c r="B217" s="96" t="s">
        <v>867</v>
      </c>
      <c r="C217" s="102">
        <f t="shared" si="13"/>
        <v>13.445669</v>
      </c>
      <c r="D217" s="152">
        <v>12.458525</v>
      </c>
      <c r="E217" s="152">
        <v>0.987144</v>
      </c>
      <c r="F217" s="152"/>
      <c r="G217" s="152"/>
    </row>
    <row r="218" ht="16.5" hidden="1" spans="1:7">
      <c r="A218" s="95" t="s">
        <v>868</v>
      </c>
      <c r="B218" s="96" t="s">
        <v>869</v>
      </c>
      <c r="C218" s="102">
        <f t="shared" si="13"/>
        <v>111.479605</v>
      </c>
      <c r="D218" s="152">
        <v>102.956829</v>
      </c>
      <c r="E218" s="152">
        <v>8.522776</v>
      </c>
      <c r="F218" s="152"/>
      <c r="G218" s="152"/>
    </row>
    <row r="219" ht="16.5" hidden="1" spans="1:7">
      <c r="A219" s="95" t="s">
        <v>870</v>
      </c>
      <c r="B219" s="96" t="s">
        <v>871</v>
      </c>
      <c r="C219" s="102">
        <f t="shared" si="13"/>
        <v>106.198718</v>
      </c>
      <c r="D219" s="152">
        <v>99.486086</v>
      </c>
      <c r="E219" s="152">
        <v>6.712632</v>
      </c>
      <c r="F219" s="152"/>
      <c r="G219" s="152"/>
    </row>
    <row r="220" ht="16.5" hidden="1" spans="1:7">
      <c r="A220" s="95" t="s">
        <v>872</v>
      </c>
      <c r="B220" s="96" t="s">
        <v>873</v>
      </c>
      <c r="C220" s="102">
        <f t="shared" si="13"/>
        <v>165.469841</v>
      </c>
      <c r="D220" s="152">
        <v>155.521037</v>
      </c>
      <c r="E220" s="152">
        <v>9.948804</v>
      </c>
      <c r="F220" s="152"/>
      <c r="G220" s="152"/>
    </row>
    <row r="221" ht="16.5" hidden="1" spans="1:7">
      <c r="A221" s="95" t="s">
        <v>874</v>
      </c>
      <c r="B221" s="96" t="s">
        <v>875</v>
      </c>
      <c r="C221" s="102">
        <f t="shared" si="13"/>
        <v>34.14204</v>
      </c>
      <c r="D221" s="152">
        <v>32.05888</v>
      </c>
      <c r="E221" s="152">
        <v>2.08316</v>
      </c>
      <c r="F221" s="152"/>
      <c r="G221" s="152"/>
    </row>
    <row r="222" ht="16.5" hidden="1" spans="1:7">
      <c r="A222" s="95" t="s">
        <v>877</v>
      </c>
      <c r="B222" s="96" t="s">
        <v>2238</v>
      </c>
      <c r="C222" s="102">
        <f t="shared" si="13"/>
        <v>2889.468029</v>
      </c>
      <c r="D222" s="144">
        <v>658.853318</v>
      </c>
      <c r="E222" s="144">
        <v>94.684711</v>
      </c>
      <c r="F222" s="144"/>
      <c r="G222" s="144">
        <v>2135.93</v>
      </c>
    </row>
    <row r="223" ht="16.5" hidden="1" spans="1:7">
      <c r="A223" s="95" t="s">
        <v>879</v>
      </c>
      <c r="B223" s="96" t="s">
        <v>880</v>
      </c>
      <c r="C223" s="102">
        <f t="shared" si="13"/>
        <v>243.437463</v>
      </c>
      <c r="D223" s="144">
        <v>202.194507</v>
      </c>
      <c r="E223" s="144">
        <v>13.642956</v>
      </c>
      <c r="F223" s="144"/>
      <c r="G223" s="144">
        <v>27.6</v>
      </c>
    </row>
    <row r="224" ht="16.5" hidden="1" spans="1:7">
      <c r="A224" s="95" t="s">
        <v>881</v>
      </c>
      <c r="B224" s="96" t="s">
        <v>882</v>
      </c>
      <c r="C224" s="102">
        <f t="shared" si="13"/>
        <v>16.235264</v>
      </c>
      <c r="D224" s="144">
        <v>15.205569</v>
      </c>
      <c r="E224" s="144">
        <v>1.029695</v>
      </c>
      <c r="F224" s="144"/>
      <c r="G224" s="144"/>
    </row>
    <row r="225" ht="16.5" hidden="1" spans="1:7">
      <c r="A225" s="95" t="s">
        <v>883</v>
      </c>
      <c r="B225" s="96" t="s">
        <v>884</v>
      </c>
      <c r="C225" s="102">
        <f t="shared" si="13"/>
        <v>42.577476</v>
      </c>
      <c r="D225" s="144">
        <v>33.474894</v>
      </c>
      <c r="E225" s="144">
        <v>2.102582</v>
      </c>
      <c r="F225" s="144"/>
      <c r="G225" s="144">
        <v>7</v>
      </c>
    </row>
    <row r="226" ht="16.5" hidden="1" spans="1:7">
      <c r="A226" s="95" t="s">
        <v>885</v>
      </c>
      <c r="B226" s="96" t="s">
        <v>886</v>
      </c>
      <c r="C226" s="102">
        <f t="shared" si="13"/>
        <v>32.84713</v>
      </c>
      <c r="D226" s="144">
        <v>30.782522</v>
      </c>
      <c r="E226" s="144">
        <v>2.064608</v>
      </c>
      <c r="F226" s="144"/>
      <c r="G226" s="144"/>
    </row>
    <row r="227" ht="16.5" hidden="1" spans="1:7">
      <c r="A227" s="95" t="s">
        <v>888</v>
      </c>
      <c r="B227" s="96" t="s">
        <v>2239</v>
      </c>
      <c r="C227" s="102">
        <f t="shared" si="13"/>
        <v>13336.289057</v>
      </c>
      <c r="D227" s="144">
        <v>1179.593991</v>
      </c>
      <c r="E227" s="144">
        <v>157.315066</v>
      </c>
      <c r="F227" s="144"/>
      <c r="G227" s="144">
        <v>11999.38</v>
      </c>
    </row>
    <row r="228" ht="16.5" hidden="1" spans="1:7">
      <c r="A228" s="95" t="s">
        <v>890</v>
      </c>
      <c r="B228" s="96" t="s">
        <v>891</v>
      </c>
      <c r="C228" s="102">
        <f t="shared" si="13"/>
        <v>274.028884</v>
      </c>
      <c r="D228" s="144">
        <v>235.71688</v>
      </c>
      <c r="E228" s="144">
        <v>15.712004</v>
      </c>
      <c r="F228" s="144"/>
      <c r="G228" s="144">
        <v>22.6</v>
      </c>
    </row>
    <row r="229" ht="16.5" hidden="1" spans="1:7">
      <c r="A229" s="95" t="s">
        <v>892</v>
      </c>
      <c r="B229" s="96" t="s">
        <v>893</v>
      </c>
      <c r="C229" s="102">
        <f t="shared" si="13"/>
        <v>17.76869</v>
      </c>
      <c r="D229" s="144">
        <v>16.066918</v>
      </c>
      <c r="E229" s="144">
        <v>1.701772</v>
      </c>
      <c r="F229" s="144"/>
      <c r="G229" s="144"/>
    </row>
    <row r="230" ht="16.5" hidden="1" spans="1:7">
      <c r="A230" s="95" t="s">
        <v>894</v>
      </c>
      <c r="B230" s="96" t="s">
        <v>895</v>
      </c>
      <c r="C230" s="102">
        <f t="shared" si="13"/>
        <v>99.785981</v>
      </c>
      <c r="D230" s="144">
        <v>92.923757</v>
      </c>
      <c r="E230" s="144">
        <v>6.862224</v>
      </c>
      <c r="F230" s="144"/>
      <c r="G230" s="144"/>
    </row>
    <row r="231" ht="16.5" hidden="1" spans="1:7">
      <c r="A231" s="95" t="s">
        <v>896</v>
      </c>
      <c r="B231" s="96" t="s">
        <v>897</v>
      </c>
      <c r="C231" s="102">
        <f t="shared" si="13"/>
        <v>106.189139</v>
      </c>
      <c r="D231" s="144">
        <v>98.402803</v>
      </c>
      <c r="E231" s="144">
        <v>6.696336</v>
      </c>
      <c r="F231" s="144"/>
      <c r="G231" s="144">
        <v>1.09</v>
      </c>
    </row>
    <row r="232" ht="16.5" hidden="1" spans="1:7">
      <c r="A232" s="95" t="s">
        <v>898</v>
      </c>
      <c r="B232" s="96" t="s">
        <v>899</v>
      </c>
      <c r="C232" s="102">
        <f t="shared" si="13"/>
        <v>206.393441</v>
      </c>
      <c r="D232" s="144">
        <v>194.382277</v>
      </c>
      <c r="E232" s="144">
        <v>12.011164</v>
      </c>
      <c r="F232" s="144"/>
      <c r="G232" s="144"/>
    </row>
    <row r="233" ht="16.5" hidden="1" spans="1:7">
      <c r="A233" s="95" t="s">
        <v>900</v>
      </c>
      <c r="B233" s="96" t="s">
        <v>901</v>
      </c>
      <c r="C233" s="102">
        <f t="shared" si="13"/>
        <v>33.50963</v>
      </c>
      <c r="D233" s="144">
        <v>31.435878</v>
      </c>
      <c r="E233" s="144">
        <v>2.073752</v>
      </c>
      <c r="F233" s="144"/>
      <c r="G233" s="144"/>
    </row>
    <row r="234" ht="16.5" hidden="1" spans="1:7">
      <c r="A234" s="95" t="s">
        <v>903</v>
      </c>
      <c r="B234" s="96" t="s">
        <v>2240</v>
      </c>
      <c r="C234" s="102">
        <f t="shared" si="13"/>
        <v>3102.786837</v>
      </c>
      <c r="D234" s="144">
        <v>1114.754299</v>
      </c>
      <c r="E234" s="144">
        <v>139.062538</v>
      </c>
      <c r="F234" s="144"/>
      <c r="G234" s="144">
        <v>1848.97</v>
      </c>
    </row>
    <row r="235" ht="16.5" hidden="1" spans="1:7">
      <c r="A235" s="95" t="s">
        <v>905</v>
      </c>
      <c r="B235" s="96" t="s">
        <v>906</v>
      </c>
      <c r="C235" s="102">
        <f t="shared" si="13"/>
        <v>304.563559</v>
      </c>
      <c r="D235" s="144">
        <v>225.613559</v>
      </c>
      <c r="E235" s="144">
        <v>14.05</v>
      </c>
      <c r="F235" s="144"/>
      <c r="G235" s="144">
        <v>64.9</v>
      </c>
    </row>
    <row r="236" ht="16.5" hidden="1" spans="1:7">
      <c r="A236" s="95" t="s">
        <v>907</v>
      </c>
      <c r="B236" s="96" t="s">
        <v>908</v>
      </c>
      <c r="C236" s="102">
        <f t="shared" si="13"/>
        <v>126.647101</v>
      </c>
      <c r="D236" s="144">
        <v>119.870397</v>
      </c>
      <c r="E236" s="144">
        <v>6.776704</v>
      </c>
      <c r="F236" s="144"/>
      <c r="G236" s="144"/>
    </row>
    <row r="237" ht="16.5" hidden="1" spans="1:7">
      <c r="A237" s="95" t="s">
        <v>909</v>
      </c>
      <c r="B237" s="96" t="s">
        <v>910</v>
      </c>
      <c r="C237" s="102">
        <f t="shared" si="13"/>
        <v>15.883188</v>
      </c>
      <c r="D237" s="144">
        <v>14.858528</v>
      </c>
      <c r="E237" s="144">
        <v>1.02466</v>
      </c>
      <c r="F237" s="144"/>
      <c r="G237" s="144"/>
    </row>
    <row r="238" ht="16.5" hidden="1" spans="1:7">
      <c r="A238" s="95" t="s">
        <v>911</v>
      </c>
      <c r="B238" s="96" t="s">
        <v>912</v>
      </c>
      <c r="C238" s="102">
        <f t="shared" si="13"/>
        <v>51.118226</v>
      </c>
      <c r="D238" s="144">
        <v>47.995334</v>
      </c>
      <c r="E238" s="144">
        <v>3.122892</v>
      </c>
      <c r="F238" s="144"/>
      <c r="G238" s="144"/>
    </row>
    <row r="239" ht="16.5" hidden="1" spans="1:7">
      <c r="A239" s="95" t="s">
        <v>913</v>
      </c>
      <c r="B239" s="96" t="s">
        <v>914</v>
      </c>
      <c r="C239" s="102">
        <f t="shared" si="13"/>
        <v>34.18247</v>
      </c>
      <c r="D239" s="144">
        <v>32.098758</v>
      </c>
      <c r="E239" s="144">
        <v>2.083712</v>
      </c>
      <c r="F239" s="144"/>
      <c r="G239" s="144"/>
    </row>
    <row r="240" ht="16.5" hidden="1" spans="1:7">
      <c r="A240" s="95" t="s">
        <v>915</v>
      </c>
      <c r="B240" s="96" t="s">
        <v>916</v>
      </c>
      <c r="C240" s="102">
        <f t="shared" si="13"/>
        <v>81.186924</v>
      </c>
      <c r="D240" s="144">
        <v>77.033236</v>
      </c>
      <c r="E240" s="144">
        <v>4.153688</v>
      </c>
      <c r="F240" s="144"/>
      <c r="G240" s="144"/>
    </row>
    <row r="241" ht="16.5" hidden="1" spans="1:7">
      <c r="A241" s="95" t="s">
        <v>918</v>
      </c>
      <c r="B241" s="96" t="s">
        <v>2241</v>
      </c>
      <c r="C241" s="102">
        <f t="shared" si="13"/>
        <v>2289.725422</v>
      </c>
      <c r="D241" s="144">
        <v>669.455641</v>
      </c>
      <c r="E241" s="144">
        <v>89.859781</v>
      </c>
      <c r="F241" s="144"/>
      <c r="G241" s="144">
        <v>1530.41</v>
      </c>
    </row>
    <row r="242" ht="16.5" hidden="1" spans="1:7">
      <c r="A242" s="95" t="s">
        <v>920</v>
      </c>
      <c r="B242" s="96" t="s">
        <v>921</v>
      </c>
      <c r="C242" s="102">
        <f t="shared" si="13"/>
        <v>293.042164</v>
      </c>
      <c r="D242" s="144">
        <v>243.96448</v>
      </c>
      <c r="E242" s="144">
        <v>15.977684</v>
      </c>
      <c r="F242" s="144"/>
      <c r="G242" s="144">
        <v>33.1</v>
      </c>
    </row>
    <row r="243" ht="16.5" hidden="1" spans="1:7">
      <c r="A243" s="95" t="s">
        <v>922</v>
      </c>
      <c r="B243" s="96" t="s">
        <v>923</v>
      </c>
      <c r="C243" s="102">
        <f t="shared" si="13"/>
        <v>15.701436</v>
      </c>
      <c r="D243" s="144">
        <v>14.679296</v>
      </c>
      <c r="E243" s="144">
        <v>1.02214</v>
      </c>
      <c r="F243" s="144"/>
      <c r="G243" s="144"/>
    </row>
    <row r="244" ht="16.5" hidden="1" spans="1:7">
      <c r="A244" s="95" t="s">
        <v>924</v>
      </c>
      <c r="B244" s="96" t="s">
        <v>925</v>
      </c>
      <c r="C244" s="102">
        <f t="shared" si="13"/>
        <v>42.728011</v>
      </c>
      <c r="D244" s="144">
        <v>33.544875</v>
      </c>
      <c r="E244" s="144">
        <v>2.183136</v>
      </c>
      <c r="F244" s="144"/>
      <c r="G244" s="144">
        <v>7</v>
      </c>
    </row>
    <row r="245" ht="16.5" hidden="1" spans="1:7">
      <c r="A245" s="95" t="s">
        <v>926</v>
      </c>
      <c r="B245" s="96" t="s">
        <v>927</v>
      </c>
      <c r="C245" s="102">
        <f t="shared" si="13"/>
        <v>34.160866</v>
      </c>
      <c r="D245" s="144">
        <v>32.077658</v>
      </c>
      <c r="E245" s="144">
        <v>2.083208</v>
      </c>
      <c r="F245" s="144"/>
      <c r="G245" s="144"/>
    </row>
    <row r="246" ht="16.5" hidden="1" spans="1:7">
      <c r="A246" s="95" t="s">
        <v>929</v>
      </c>
      <c r="B246" s="96" t="s">
        <v>2242</v>
      </c>
      <c r="C246" s="102">
        <f t="shared" si="13"/>
        <v>2552.72929</v>
      </c>
      <c r="D246" s="144">
        <v>692.922627</v>
      </c>
      <c r="E246" s="144">
        <v>98.556663</v>
      </c>
      <c r="F246" s="144"/>
      <c r="G246" s="144">
        <v>1761.25</v>
      </c>
    </row>
    <row r="247" ht="16.5" hidden="1" spans="1:7">
      <c r="A247" s="95" t="s">
        <v>931</v>
      </c>
      <c r="B247" s="96" t="s">
        <v>932</v>
      </c>
      <c r="C247" s="102">
        <f t="shared" si="13"/>
        <v>265.587554</v>
      </c>
      <c r="D247" s="144">
        <v>227.469914</v>
      </c>
      <c r="E247" s="144">
        <v>14.11764</v>
      </c>
      <c r="F247" s="144"/>
      <c r="G247" s="144">
        <v>24</v>
      </c>
    </row>
    <row r="248" ht="16.5" hidden="1" spans="1:7">
      <c r="A248" s="95" t="s">
        <v>933</v>
      </c>
      <c r="B248" s="96" t="s">
        <v>934</v>
      </c>
      <c r="C248" s="102">
        <f t="shared" si="13"/>
        <v>16.522664</v>
      </c>
      <c r="D248" s="144">
        <v>15.491264</v>
      </c>
      <c r="E248" s="144">
        <v>1.0314</v>
      </c>
      <c r="F248" s="144"/>
      <c r="G248" s="144"/>
    </row>
    <row r="249" ht="16.5" hidden="1" spans="1:7">
      <c r="A249" s="95" t="s">
        <v>935</v>
      </c>
      <c r="B249" s="96" t="s">
        <v>936</v>
      </c>
      <c r="C249" s="102">
        <f t="shared" si="13"/>
        <v>45.942844</v>
      </c>
      <c r="D249" s="144">
        <v>36.732812</v>
      </c>
      <c r="E249" s="144">
        <v>2.210032</v>
      </c>
      <c r="F249" s="144"/>
      <c r="G249" s="144">
        <v>7</v>
      </c>
    </row>
    <row r="250" ht="16.5" hidden="1" spans="1:7">
      <c r="A250" s="95" t="s">
        <v>937</v>
      </c>
      <c r="B250" s="96" t="s">
        <v>938</v>
      </c>
      <c r="C250" s="102">
        <f t="shared" si="13"/>
        <v>33.913086</v>
      </c>
      <c r="D250" s="144">
        <v>31.838214</v>
      </c>
      <c r="E250" s="144">
        <v>2.074872</v>
      </c>
      <c r="F250" s="144"/>
      <c r="G250" s="144"/>
    </row>
    <row r="251" ht="16.5" hidden="1" spans="1:7">
      <c r="A251" s="95" t="s">
        <v>940</v>
      </c>
      <c r="B251" s="96" t="s">
        <v>2243</v>
      </c>
      <c r="C251" s="102">
        <f t="shared" si="13"/>
        <v>6345.429116</v>
      </c>
      <c r="D251" s="144">
        <v>1114.496885</v>
      </c>
      <c r="E251" s="144">
        <v>149.352231</v>
      </c>
      <c r="F251" s="144">
        <v>326.68</v>
      </c>
      <c r="G251" s="144">
        <v>4754.9</v>
      </c>
    </row>
    <row r="252" ht="16.5" hidden="1" spans="1:7">
      <c r="A252" s="95" t="s">
        <v>942</v>
      </c>
      <c r="B252" s="96" t="s">
        <v>943</v>
      </c>
      <c r="C252" s="102">
        <f t="shared" si="13"/>
        <v>242.345846</v>
      </c>
      <c r="D252" s="144">
        <v>204.379018</v>
      </c>
      <c r="E252" s="144">
        <v>12.366828</v>
      </c>
      <c r="F252" s="144"/>
      <c r="G252" s="144">
        <v>25.6</v>
      </c>
    </row>
    <row r="253" ht="16.5" hidden="1" spans="1:7">
      <c r="A253" s="95" t="s">
        <v>944</v>
      </c>
      <c r="B253" s="96" t="s">
        <v>945</v>
      </c>
      <c r="C253" s="102">
        <f t="shared" si="13"/>
        <v>321.972379</v>
      </c>
      <c r="D253" s="144">
        <v>302.312787</v>
      </c>
      <c r="E253" s="144">
        <v>19.659592</v>
      </c>
      <c r="F253" s="144"/>
      <c r="G253" s="144"/>
    </row>
    <row r="254" ht="16.5" hidden="1" spans="1:7">
      <c r="A254" s="95" t="s">
        <v>946</v>
      </c>
      <c r="B254" s="96" t="s">
        <v>947</v>
      </c>
      <c r="C254" s="102">
        <f t="shared" si="13"/>
        <v>481.069268</v>
      </c>
      <c r="D254" s="144">
        <v>147.843528</v>
      </c>
      <c r="E254" s="144">
        <v>10.22574</v>
      </c>
      <c r="F254" s="144"/>
      <c r="G254" s="144">
        <v>323</v>
      </c>
    </row>
    <row r="255" ht="16.5" hidden="1" spans="1:7">
      <c r="A255" s="95" t="s">
        <v>948</v>
      </c>
      <c r="B255" s="96" t="s">
        <v>949</v>
      </c>
      <c r="C255" s="102">
        <f t="shared" si="13"/>
        <v>99.524182</v>
      </c>
      <c r="D255" s="144">
        <v>92.6714</v>
      </c>
      <c r="E255" s="144">
        <v>6.852782</v>
      </c>
      <c r="F255" s="144"/>
      <c r="G255" s="144"/>
    </row>
    <row r="256" ht="16.5" hidden="1" spans="1:7">
      <c r="A256" s="95" t="s">
        <v>951</v>
      </c>
      <c r="B256" s="96" t="s">
        <v>2244</v>
      </c>
      <c r="C256" s="102">
        <f t="shared" si="13"/>
        <v>5921.635477</v>
      </c>
      <c r="D256" s="144">
        <v>806.366966</v>
      </c>
      <c r="E256" s="144">
        <v>107.998511</v>
      </c>
      <c r="F256" s="144"/>
      <c r="G256" s="144">
        <v>5007.27</v>
      </c>
    </row>
    <row r="257" ht="16.5" hidden="1" spans="1:7">
      <c r="A257" s="95" t="s">
        <v>953</v>
      </c>
      <c r="B257" s="96" t="s">
        <v>954</v>
      </c>
      <c r="C257" s="102">
        <f t="shared" si="13"/>
        <v>292.96846</v>
      </c>
      <c r="D257" s="144">
        <v>254.054172</v>
      </c>
      <c r="E257" s="144">
        <v>15.514288</v>
      </c>
      <c r="F257" s="144"/>
      <c r="G257" s="144">
        <v>23.4</v>
      </c>
    </row>
    <row r="258" ht="16.5" hidden="1" spans="1:7">
      <c r="A258" s="95" t="s">
        <v>955</v>
      </c>
      <c r="B258" s="96" t="s">
        <v>956</v>
      </c>
      <c r="C258" s="102">
        <f t="shared" si="13"/>
        <v>16.070302</v>
      </c>
      <c r="D258" s="144">
        <v>15.04567</v>
      </c>
      <c r="E258" s="144">
        <v>1.024632</v>
      </c>
      <c r="F258" s="144"/>
      <c r="G258" s="144"/>
    </row>
    <row r="259" ht="16.5" hidden="1" spans="1:7">
      <c r="A259" s="95" t="s">
        <v>957</v>
      </c>
      <c r="B259" s="96" t="s">
        <v>958</v>
      </c>
      <c r="C259" s="102">
        <f t="shared" si="13"/>
        <v>80.458092</v>
      </c>
      <c r="D259" s="144">
        <v>65.779372</v>
      </c>
      <c r="E259" s="144">
        <v>4.17872</v>
      </c>
      <c r="F259" s="144"/>
      <c r="G259" s="144">
        <v>10.5</v>
      </c>
    </row>
    <row r="260" ht="16.5" hidden="1" spans="1:7">
      <c r="A260" s="95" t="s">
        <v>959</v>
      </c>
      <c r="B260" s="96" t="s">
        <v>960</v>
      </c>
      <c r="C260" s="102">
        <f t="shared" si="13"/>
        <v>33.328979</v>
      </c>
      <c r="D260" s="144">
        <v>31.262963</v>
      </c>
      <c r="E260" s="144">
        <v>2.066016</v>
      </c>
      <c r="F260" s="144"/>
      <c r="G260" s="144"/>
    </row>
    <row r="261" ht="16.5" hidden="1" spans="1:7">
      <c r="A261" s="95" t="s">
        <v>962</v>
      </c>
      <c r="B261" s="96" t="s">
        <v>2245</v>
      </c>
      <c r="C261" s="102">
        <f t="shared" si="13"/>
        <v>5036.552738</v>
      </c>
      <c r="D261" s="144">
        <v>1151.830448</v>
      </c>
      <c r="E261" s="144">
        <v>138.98429</v>
      </c>
      <c r="F261" s="144"/>
      <c r="G261" s="144">
        <v>3745.738</v>
      </c>
    </row>
    <row r="262" ht="16.5" hidden="1" spans="1:7">
      <c r="A262" s="95" t="s">
        <v>964</v>
      </c>
      <c r="B262" s="96" t="s">
        <v>965</v>
      </c>
      <c r="C262" s="102">
        <f t="shared" si="13"/>
        <v>314.356454</v>
      </c>
      <c r="D262" s="144">
        <v>277.220222</v>
      </c>
      <c r="E262" s="144">
        <v>14.736232</v>
      </c>
      <c r="F262" s="144"/>
      <c r="G262" s="144">
        <v>22.4</v>
      </c>
    </row>
    <row r="263" ht="16.5" hidden="1" spans="1:7">
      <c r="A263" s="95" t="s">
        <v>966</v>
      </c>
      <c r="B263" s="96" t="s">
        <v>967</v>
      </c>
      <c r="C263" s="102">
        <f t="shared" ref="C263:C295" si="14">D263+E263+F263+G263</f>
        <v>357.959782</v>
      </c>
      <c r="D263" s="144">
        <v>337.235054</v>
      </c>
      <c r="E263" s="144">
        <v>20.724728</v>
      </c>
      <c r="F263" s="144"/>
      <c r="G263" s="144"/>
    </row>
    <row r="264" ht="16.5" hidden="1" spans="1:7">
      <c r="A264" s="95" t="s">
        <v>968</v>
      </c>
      <c r="B264" s="96" t="s">
        <v>969</v>
      </c>
      <c r="C264" s="102">
        <f t="shared" si="14"/>
        <v>456.60183</v>
      </c>
      <c r="D264" s="144">
        <v>428.00619</v>
      </c>
      <c r="E264" s="144">
        <v>28.59564</v>
      </c>
      <c r="F264" s="144"/>
      <c r="G264" s="144"/>
    </row>
    <row r="265" ht="16.5" hidden="1" spans="1:7">
      <c r="A265" s="95" t="s">
        <v>970</v>
      </c>
      <c r="B265" s="96" t="s">
        <v>971</v>
      </c>
      <c r="C265" s="102">
        <f t="shared" si="14"/>
        <v>47.926558</v>
      </c>
      <c r="D265" s="144">
        <v>44.85097</v>
      </c>
      <c r="E265" s="144">
        <v>3.075588</v>
      </c>
      <c r="F265" s="144"/>
      <c r="G265" s="144"/>
    </row>
    <row r="266" ht="16.5" hidden="1" spans="1:7">
      <c r="A266" s="95" t="s">
        <v>973</v>
      </c>
      <c r="B266" s="96" t="s">
        <v>974</v>
      </c>
      <c r="C266" s="102">
        <f t="shared" si="14"/>
        <v>284.028893</v>
      </c>
      <c r="D266" s="144">
        <v>250.786285</v>
      </c>
      <c r="E266" s="144">
        <v>15.842608</v>
      </c>
      <c r="F266" s="144"/>
      <c r="G266" s="144">
        <v>17.4</v>
      </c>
    </row>
    <row r="267" ht="16.5" hidden="1" spans="1:7">
      <c r="A267" s="95" t="s">
        <v>975</v>
      </c>
      <c r="B267" s="96" t="s">
        <v>2246</v>
      </c>
      <c r="C267" s="102">
        <f t="shared" si="14"/>
        <v>1774.399269</v>
      </c>
      <c r="D267" s="144">
        <v>306.283631</v>
      </c>
      <c r="E267" s="144">
        <v>43.485638</v>
      </c>
      <c r="F267" s="144"/>
      <c r="G267" s="144">
        <v>1424.63</v>
      </c>
    </row>
    <row r="268" ht="16.5" hidden="1" spans="1:7">
      <c r="A268" s="95" t="s">
        <v>977</v>
      </c>
      <c r="B268" s="96" t="s">
        <v>978</v>
      </c>
      <c r="C268" s="102">
        <f t="shared" si="14"/>
        <v>182.280055</v>
      </c>
      <c r="D268" s="144">
        <v>170.740979</v>
      </c>
      <c r="E268" s="144">
        <v>11.539076</v>
      </c>
      <c r="F268" s="144"/>
      <c r="G268" s="144"/>
    </row>
    <row r="269" ht="16.5" hidden="1" spans="1:7">
      <c r="A269" s="95" t="s">
        <v>979</v>
      </c>
      <c r="B269" s="96" t="s">
        <v>980</v>
      </c>
      <c r="C269" s="102">
        <f t="shared" si="14"/>
        <v>373.883479</v>
      </c>
      <c r="D269" s="144">
        <v>350.369923</v>
      </c>
      <c r="E269" s="144">
        <v>23.513556</v>
      </c>
      <c r="F269" s="144"/>
      <c r="G269" s="144"/>
    </row>
    <row r="270" ht="16.5" hidden="1" spans="1:7">
      <c r="A270" s="95" t="s">
        <v>981</v>
      </c>
      <c r="B270" s="96" t="s">
        <v>982</v>
      </c>
      <c r="C270" s="102">
        <f t="shared" si="14"/>
        <v>62.217708</v>
      </c>
      <c r="D270" s="144">
        <v>57.493008</v>
      </c>
      <c r="E270" s="144">
        <v>4.7247</v>
      </c>
      <c r="F270" s="144"/>
      <c r="G270" s="144"/>
    </row>
    <row r="271" ht="16.5" hidden="1" spans="1:7">
      <c r="A271" s="95" t="s">
        <v>984</v>
      </c>
      <c r="B271" s="96" t="s">
        <v>985</v>
      </c>
      <c r="C271" s="102">
        <f t="shared" si="14"/>
        <v>1275.087284</v>
      </c>
      <c r="D271" s="144">
        <v>409.562528</v>
      </c>
      <c r="E271" s="144">
        <v>56.694756</v>
      </c>
      <c r="F271" s="144"/>
      <c r="G271" s="144">
        <v>808.83</v>
      </c>
    </row>
    <row r="272" ht="16.5" hidden="1" spans="1:7">
      <c r="A272" s="95" t="s">
        <v>986</v>
      </c>
      <c r="B272" s="96" t="s">
        <v>987</v>
      </c>
      <c r="C272" s="102">
        <f t="shared" si="14"/>
        <v>144.976006</v>
      </c>
      <c r="D272" s="144">
        <v>116.08305</v>
      </c>
      <c r="E272" s="144">
        <v>7.392956</v>
      </c>
      <c r="F272" s="144"/>
      <c r="G272" s="144">
        <v>21.5</v>
      </c>
    </row>
    <row r="273" ht="16.5" hidden="1" spans="1:7">
      <c r="A273" s="95" t="s">
        <v>988</v>
      </c>
      <c r="B273" s="96" t="s">
        <v>989</v>
      </c>
      <c r="C273" s="102">
        <f t="shared" si="14"/>
        <v>19.835076</v>
      </c>
      <c r="D273" s="144">
        <v>18.754976</v>
      </c>
      <c r="E273" s="144">
        <v>1.0801</v>
      </c>
      <c r="F273" s="144"/>
      <c r="G273" s="144"/>
    </row>
    <row r="274" ht="16.5" hidden="1" spans="1:7">
      <c r="A274" s="95" t="s">
        <v>990</v>
      </c>
      <c r="B274" s="96" t="s">
        <v>991</v>
      </c>
      <c r="C274" s="102">
        <f t="shared" si="14"/>
        <v>15.568807</v>
      </c>
      <c r="D274" s="144">
        <v>14.548371</v>
      </c>
      <c r="E274" s="144">
        <v>1.020436</v>
      </c>
      <c r="F274" s="144"/>
      <c r="G274" s="144"/>
    </row>
    <row r="275" ht="16.5" hidden="1" spans="1:7">
      <c r="A275" s="95" t="s">
        <v>992</v>
      </c>
      <c r="B275" s="96" t="s">
        <v>993</v>
      </c>
      <c r="C275" s="102">
        <f t="shared" si="14"/>
        <v>16.898858</v>
      </c>
      <c r="D275" s="144">
        <v>15.859846</v>
      </c>
      <c r="E275" s="144">
        <v>1.039012</v>
      </c>
      <c r="F275" s="144"/>
      <c r="G275" s="144"/>
    </row>
    <row r="276" ht="16.5" hidden="1" spans="1:7">
      <c r="A276" s="95" t="s">
        <v>995</v>
      </c>
      <c r="B276" s="96" t="s">
        <v>1162</v>
      </c>
      <c r="C276" s="102">
        <f t="shared" si="14"/>
        <v>33427.497484</v>
      </c>
      <c r="D276" s="144">
        <v>720.70401</v>
      </c>
      <c r="E276" s="144">
        <v>111.206074</v>
      </c>
      <c r="F276" s="144"/>
      <c r="G276" s="144">
        <v>32595.5874</v>
      </c>
    </row>
    <row r="277" ht="16.5" hidden="1" spans="1:7">
      <c r="A277" s="95" t="s">
        <v>997</v>
      </c>
      <c r="B277" s="96" t="s">
        <v>998</v>
      </c>
      <c r="C277" s="102">
        <f t="shared" si="14"/>
        <v>438.053282</v>
      </c>
      <c r="D277" s="144">
        <v>399.559526</v>
      </c>
      <c r="E277" s="144">
        <v>38.493756</v>
      </c>
      <c r="F277" s="144"/>
      <c r="G277" s="144"/>
    </row>
    <row r="278" ht="16.5" hidden="1" spans="1:7">
      <c r="A278" s="95" t="s">
        <v>999</v>
      </c>
      <c r="B278" s="96" t="s">
        <v>1000</v>
      </c>
      <c r="C278" s="102">
        <f t="shared" si="14"/>
        <v>160.700974</v>
      </c>
      <c r="D278" s="144">
        <v>146.180026</v>
      </c>
      <c r="E278" s="144">
        <v>14.520948</v>
      </c>
      <c r="F278" s="144"/>
      <c r="G278" s="144"/>
    </row>
    <row r="279" ht="16.5" hidden="1" spans="1:7">
      <c r="A279" s="95" t="s">
        <v>1001</v>
      </c>
      <c r="B279" s="96" t="s">
        <v>1002</v>
      </c>
      <c r="C279" s="102">
        <f t="shared" si="14"/>
        <v>376.780947</v>
      </c>
      <c r="D279" s="144">
        <v>342.617811</v>
      </c>
      <c r="E279" s="144">
        <v>34.163136</v>
      </c>
      <c r="F279" s="144"/>
      <c r="G279" s="144"/>
    </row>
    <row r="280" s="117" customFormat="1" ht="20.6" customHeight="1" spans="1:8">
      <c r="A280" s="153"/>
      <c r="B280" s="82" t="s">
        <v>1003</v>
      </c>
      <c r="C280" s="102">
        <f t="shared" si="14"/>
        <v>156718.64</v>
      </c>
      <c r="D280" s="146">
        <f t="shared" ref="D280:G280" si="15">SUM(D281:D293)</f>
        <v>0</v>
      </c>
      <c r="E280" s="146">
        <f t="shared" si="15"/>
        <v>0</v>
      </c>
      <c r="F280" s="146">
        <f t="shared" si="15"/>
        <v>0</v>
      </c>
      <c r="G280" s="146">
        <f t="shared" si="15"/>
        <v>156718.64</v>
      </c>
      <c r="H280" s="143" t="s">
        <v>578</v>
      </c>
    </row>
    <row r="281" ht="16.5" hidden="1" spans="1:8">
      <c r="A281" s="95" t="s">
        <v>2247</v>
      </c>
      <c r="B281" s="96" t="s">
        <v>1011</v>
      </c>
      <c r="C281" s="102">
        <f t="shared" si="14"/>
        <v>37530</v>
      </c>
      <c r="D281" s="154"/>
      <c r="E281" s="144"/>
      <c r="F281" s="144"/>
      <c r="G281" s="144">
        <f>181289-72200-71559</f>
        <v>37530</v>
      </c>
      <c r="H281" s="143"/>
    </row>
    <row r="282" ht="16.5" hidden="1" spans="1:8">
      <c r="A282" s="95" t="s">
        <v>2248</v>
      </c>
      <c r="B282" s="96" t="s">
        <v>1012</v>
      </c>
      <c r="C282" s="102">
        <f t="shared" si="14"/>
        <v>250</v>
      </c>
      <c r="D282" s="144"/>
      <c r="E282" s="144"/>
      <c r="F282" s="144"/>
      <c r="G282" s="144">
        <v>250</v>
      </c>
      <c r="H282" s="143"/>
    </row>
    <row r="283" ht="16.5" hidden="1" spans="1:8">
      <c r="A283" s="95" t="s">
        <v>2249</v>
      </c>
      <c r="B283" s="96" t="s">
        <v>1007</v>
      </c>
      <c r="C283" s="102">
        <f t="shared" si="14"/>
        <v>25250</v>
      </c>
      <c r="D283" s="144"/>
      <c r="E283" s="144"/>
      <c r="F283" s="144"/>
      <c r="G283" s="144">
        <f>27903-2653</f>
        <v>25250</v>
      </c>
      <c r="H283" s="143"/>
    </row>
    <row r="284" ht="16.5" hidden="1" spans="1:8">
      <c r="A284" s="95" t="s">
        <v>2250</v>
      </c>
      <c r="B284" s="96" t="s">
        <v>1004</v>
      </c>
      <c r="C284" s="102">
        <f t="shared" si="14"/>
        <v>2751</v>
      </c>
      <c r="D284" s="144"/>
      <c r="E284" s="144"/>
      <c r="F284" s="144"/>
      <c r="G284" s="144">
        <v>2751</v>
      </c>
      <c r="H284" s="143"/>
    </row>
    <row r="285" ht="16.5" hidden="1" spans="1:8">
      <c r="A285" s="95" t="s">
        <v>2251</v>
      </c>
      <c r="B285" s="96" t="s">
        <v>1010</v>
      </c>
      <c r="C285" s="102">
        <f t="shared" si="14"/>
        <v>1290.2</v>
      </c>
      <c r="D285" s="144"/>
      <c r="E285" s="144"/>
      <c r="F285" s="144"/>
      <c r="G285" s="144">
        <v>1290.2</v>
      </c>
      <c r="H285" s="143"/>
    </row>
    <row r="286" ht="16.5" hidden="1" spans="1:8">
      <c r="A286" s="95" t="s">
        <v>2252</v>
      </c>
      <c r="B286" s="96" t="s">
        <v>1006</v>
      </c>
      <c r="C286" s="102">
        <f t="shared" si="14"/>
        <v>36324</v>
      </c>
      <c r="D286" s="144"/>
      <c r="E286" s="144"/>
      <c r="F286" s="144"/>
      <c r="G286" s="144">
        <v>36324</v>
      </c>
      <c r="H286" s="143"/>
    </row>
    <row r="287" ht="16.5" hidden="1" spans="1:8">
      <c r="A287" s="95" t="s">
        <v>2253</v>
      </c>
      <c r="B287" s="96" t="s">
        <v>1005</v>
      </c>
      <c r="C287" s="102">
        <f t="shared" si="14"/>
        <v>15000</v>
      </c>
      <c r="D287" s="144"/>
      <c r="E287" s="144"/>
      <c r="F287" s="144"/>
      <c r="G287" s="144">
        <v>15000</v>
      </c>
      <c r="H287" s="143"/>
    </row>
    <row r="288" ht="16.5" hidden="1" spans="1:8">
      <c r="A288" s="95" t="s">
        <v>2254</v>
      </c>
      <c r="B288" s="96" t="s">
        <v>1009</v>
      </c>
      <c r="C288" s="102">
        <f t="shared" si="14"/>
        <v>16773</v>
      </c>
      <c r="D288" s="144"/>
      <c r="E288" s="144"/>
      <c r="F288" s="144"/>
      <c r="G288" s="144">
        <v>16773</v>
      </c>
      <c r="H288" s="143"/>
    </row>
    <row r="289" ht="16.5" hidden="1" spans="1:8">
      <c r="A289" s="95" t="s">
        <v>2255</v>
      </c>
      <c r="B289" s="96" t="s">
        <v>1008</v>
      </c>
      <c r="C289" s="102">
        <f t="shared" si="14"/>
        <v>225.44</v>
      </c>
      <c r="D289" s="144"/>
      <c r="E289" s="144"/>
      <c r="F289" s="144"/>
      <c r="G289" s="144">
        <v>225.44</v>
      </c>
      <c r="H289" s="143"/>
    </row>
    <row r="290" ht="16.5" hidden="1" spans="1:8">
      <c r="A290" s="95" t="s">
        <v>2256</v>
      </c>
      <c r="B290" s="96" t="s">
        <v>1013</v>
      </c>
      <c r="C290" s="102">
        <f t="shared" si="14"/>
        <v>120</v>
      </c>
      <c r="D290" s="144"/>
      <c r="E290" s="144"/>
      <c r="F290" s="144"/>
      <c r="G290" s="144">
        <v>120</v>
      </c>
      <c r="H290" s="143"/>
    </row>
    <row r="291" ht="16.5" hidden="1" spans="1:8">
      <c r="A291" s="95" t="s">
        <v>2257</v>
      </c>
      <c r="B291" s="96" t="s">
        <v>1014</v>
      </c>
      <c r="C291" s="102">
        <f t="shared" si="14"/>
        <v>3656</v>
      </c>
      <c r="D291" s="144"/>
      <c r="E291" s="144"/>
      <c r="F291" s="144"/>
      <c r="G291" s="144">
        <v>3656</v>
      </c>
      <c r="H291" s="143"/>
    </row>
    <row r="292" ht="16.5" hidden="1" spans="1:8">
      <c r="A292" s="95" t="s">
        <v>2258</v>
      </c>
      <c r="B292" s="96" t="s">
        <v>1015</v>
      </c>
      <c r="C292" s="102">
        <f t="shared" si="14"/>
        <v>201</v>
      </c>
      <c r="D292" s="144"/>
      <c r="E292" s="144"/>
      <c r="F292" s="144"/>
      <c r="G292" s="144">
        <v>201</v>
      </c>
      <c r="H292" s="143"/>
    </row>
    <row r="293" ht="16.5" hidden="1" spans="1:8">
      <c r="A293" s="95" t="s">
        <v>2259</v>
      </c>
      <c r="B293" s="96" t="s">
        <v>1016</v>
      </c>
      <c r="C293" s="102">
        <f t="shared" si="14"/>
        <v>17348</v>
      </c>
      <c r="D293" s="155"/>
      <c r="E293" s="155"/>
      <c r="F293" s="155"/>
      <c r="G293" s="155">
        <v>17348</v>
      </c>
      <c r="H293" s="143"/>
    </row>
    <row r="294" s="117" customFormat="1" ht="20.6" customHeight="1" spans="1:8">
      <c r="A294" s="156"/>
      <c r="B294" s="105" t="s">
        <v>1017</v>
      </c>
      <c r="C294" s="102">
        <v>26708</v>
      </c>
      <c r="D294" s="146"/>
      <c r="E294" s="146"/>
      <c r="F294" s="146"/>
      <c r="G294" s="146">
        <v>26708</v>
      </c>
      <c r="H294" s="143" t="s">
        <v>578</v>
      </c>
    </row>
    <row r="295" s="117" customFormat="1" ht="20.6" customHeight="1" spans="1:8">
      <c r="A295" s="156"/>
      <c r="B295" s="105" t="s">
        <v>2260</v>
      </c>
      <c r="C295" s="102">
        <v>71559</v>
      </c>
      <c r="D295" s="146"/>
      <c r="E295" s="146"/>
      <c r="F295" s="146"/>
      <c r="G295" s="102">
        <v>71559</v>
      </c>
      <c r="H295" s="143" t="s">
        <v>578</v>
      </c>
    </row>
  </sheetData>
  <sheetProtection password="C70D" sheet="1" objects="1"/>
  <autoFilter ref="A5:H295">
    <filterColumn colId="7">
      <customFilters>
        <customFilter operator="equal" val="是"/>
      </customFilters>
    </filterColumn>
    <extLst/>
  </autoFilter>
  <mergeCells count="7">
    <mergeCell ref="A2:G2"/>
    <mergeCell ref="E4:F4"/>
    <mergeCell ref="A4:A5"/>
    <mergeCell ref="B4:B5"/>
    <mergeCell ref="C4:C5"/>
    <mergeCell ref="D4:D5"/>
    <mergeCell ref="G4:G5"/>
  </mergeCells>
  <printOptions horizontalCentered="1"/>
  <pageMargins left="0.786805555555556" right="0.590277777777778" top="0.984027777777778" bottom="0.786805555555556" header="0.313888888888889" footer="0.313888888888889"/>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420"/>
  <sheetViews>
    <sheetView showZeros="0" view="pageBreakPreview" zoomScaleNormal="90" workbookViewId="0">
      <pane xSplit="2" ySplit="5" topLeftCell="C398" activePane="bottomRight" state="frozen"/>
      <selection/>
      <selection pane="topRight"/>
      <selection pane="bottomLeft"/>
      <selection pane="bottomRight" activeCell="A2" sqref="A2:G2"/>
    </sheetView>
  </sheetViews>
  <sheetFormatPr defaultColWidth="9" defaultRowHeight="14.25" outlineLevelCol="6"/>
  <cols>
    <col min="1" max="1" width="8" style="124" customWidth="1"/>
    <col min="2" max="2" width="31.75" style="71" customWidth="1"/>
    <col min="3" max="3" width="8.25" style="71" customWidth="1"/>
    <col min="4" max="5" width="8.625" style="71" customWidth="1"/>
    <col min="6" max="6" width="10.625" style="71" customWidth="1"/>
    <col min="7" max="7" width="8" style="71" customWidth="1"/>
    <col min="8" max="16384" width="9" style="71"/>
  </cols>
  <sheetData>
    <row r="1" s="65" customFormat="1" ht="20.1" customHeight="1" spans="1:1">
      <c r="A1" s="125" t="s">
        <v>34</v>
      </c>
    </row>
    <row r="2" s="66" customFormat="1" ht="45" customHeight="1" spans="1:7">
      <c r="A2" s="74" t="s">
        <v>2261</v>
      </c>
      <c r="B2" s="74"/>
      <c r="C2" s="74"/>
      <c r="D2" s="74"/>
      <c r="E2" s="74"/>
      <c r="F2" s="74"/>
      <c r="G2" s="74"/>
    </row>
    <row r="3" s="67" customFormat="1" ht="19.5" customHeight="1" spans="7:7">
      <c r="G3" s="93" t="s">
        <v>45</v>
      </c>
    </row>
    <row r="4" s="68" customFormat="1" ht="20.1" customHeight="1" spans="1:7">
      <c r="A4" s="126" t="s">
        <v>2262</v>
      </c>
      <c r="B4" s="126" t="s">
        <v>2263</v>
      </c>
      <c r="C4" s="126" t="s">
        <v>183</v>
      </c>
      <c r="D4" s="126" t="s">
        <v>2184</v>
      </c>
      <c r="E4" s="126" t="s">
        <v>2185</v>
      </c>
      <c r="F4" s="126"/>
      <c r="G4" s="126" t="s">
        <v>2264</v>
      </c>
    </row>
    <row r="5" s="68" customFormat="1" ht="35.1" customHeight="1" spans="1:7">
      <c r="A5" s="126"/>
      <c r="B5" s="126"/>
      <c r="C5" s="126"/>
      <c r="D5" s="126"/>
      <c r="E5" s="126" t="s">
        <v>2265</v>
      </c>
      <c r="F5" s="126" t="s">
        <v>2188</v>
      </c>
      <c r="G5" s="126"/>
    </row>
    <row r="6" ht="17" customHeight="1" spans="1:7">
      <c r="A6" s="127"/>
      <c r="B6" s="128" t="s">
        <v>183</v>
      </c>
      <c r="C6" s="129">
        <f>SUM(C7,C88,C108,C123,C138,C154,C217,C247,C268,C284,C338,C350,C355,C360,C363,C366,C379,C388,C391,C407,C408,C413,C418)</f>
        <v>736849.070646</v>
      </c>
      <c r="D6" s="129">
        <f>SUM(D7,D88,D108,D123,D138,D154,D217,D247,D268,D284,D338,D350,D355,D360,D363,D366,D379,D388,D391,D407,D408,D413,D418)</f>
        <v>244086.593671</v>
      </c>
      <c r="E6" s="129">
        <f>SUM(E7,E88,E108,E123,E138,E154,E217,E247,E268,E284,E338,E350,E355,E360,E363,E366,E379,E388,E391,E407,E408,E413,E418)</f>
        <v>26473.624402</v>
      </c>
      <c r="F6" s="129">
        <f>SUM(F7,F88,F108,F123,F138,F154,F217,F247,F268,F284,F338,F350,F355,F360,F363,F366,F379,F388,F391,F407,F408,F413,F418)</f>
        <v>10152.420411</v>
      </c>
      <c r="G6" s="129">
        <f>SUM(G7,G88,G108,G123,G138,G154,G217,G247,G268,G284,G338,G350,G355,G360,G363,G366,G379,G388,G391,G407,G408,G413,G418)</f>
        <v>456136.432162</v>
      </c>
    </row>
    <row r="7" ht="17" customHeight="1" spans="1:7">
      <c r="A7" s="130" t="s">
        <v>2266</v>
      </c>
      <c r="B7" s="131" t="s">
        <v>2267</v>
      </c>
      <c r="C7" s="132">
        <f t="shared" ref="C7:G7" si="0">SUM(C8,C13,C16,C19,C24,C29,C34,C36,C40,C43,C48,C50,C54,C57,C61,C64,C67,C70,C74,C77,C81,C83,C86)</f>
        <v>109094.090939</v>
      </c>
      <c r="D7" s="132">
        <f t="shared" si="0"/>
        <v>47519.003195</v>
      </c>
      <c r="E7" s="132">
        <f t="shared" si="0"/>
        <v>6109.323744</v>
      </c>
      <c r="F7" s="132">
        <f t="shared" si="0"/>
        <v>3446.81</v>
      </c>
      <c r="G7" s="132">
        <f t="shared" si="0"/>
        <v>52018.954</v>
      </c>
    </row>
    <row r="8" ht="17" customHeight="1" spans="1:7">
      <c r="A8" s="133">
        <v>20101</v>
      </c>
      <c r="B8" s="134" t="s">
        <v>2268</v>
      </c>
      <c r="C8" s="135">
        <f t="shared" ref="C8:G8" si="1">SUM(C9:C12)</f>
        <v>1887.599779</v>
      </c>
      <c r="D8" s="135">
        <f t="shared" si="1"/>
        <v>1270.233193</v>
      </c>
      <c r="E8" s="135">
        <f t="shared" si="1"/>
        <v>233.766586</v>
      </c>
      <c r="F8" s="135">
        <f t="shared" si="1"/>
        <v>0</v>
      </c>
      <c r="G8" s="135">
        <f t="shared" si="1"/>
        <v>383.6</v>
      </c>
    </row>
    <row r="9" ht="17" customHeight="1" spans="1:7">
      <c r="A9" s="133">
        <v>2010101</v>
      </c>
      <c r="B9" s="134" t="s">
        <v>2269</v>
      </c>
      <c r="C9" s="135">
        <f t="shared" ref="C9:C12" si="2">D9+E9+F9+G9</f>
        <v>1773.399779</v>
      </c>
      <c r="D9" s="135">
        <v>1270.233193</v>
      </c>
      <c r="E9" s="135">
        <v>218.766586</v>
      </c>
      <c r="F9" s="135"/>
      <c r="G9" s="135">
        <v>284.4</v>
      </c>
    </row>
    <row r="10" ht="17" customHeight="1" spans="1:7">
      <c r="A10" s="133">
        <v>2010104</v>
      </c>
      <c r="B10" s="134" t="s">
        <v>2270</v>
      </c>
      <c r="C10" s="135">
        <f t="shared" si="2"/>
        <v>15</v>
      </c>
      <c r="D10" s="135"/>
      <c r="E10" s="135">
        <v>15</v>
      </c>
      <c r="F10" s="135"/>
      <c r="G10" s="135"/>
    </row>
    <row r="11" ht="17" customHeight="1" spans="1:7">
      <c r="A11" s="133">
        <v>2010108</v>
      </c>
      <c r="B11" s="134" t="s">
        <v>2271</v>
      </c>
      <c r="C11" s="135">
        <f t="shared" si="2"/>
        <v>78.2</v>
      </c>
      <c r="D11" s="135"/>
      <c r="E11" s="135"/>
      <c r="F11" s="135"/>
      <c r="G11" s="135">
        <v>78.2</v>
      </c>
    </row>
    <row r="12" ht="17" customHeight="1" spans="1:7">
      <c r="A12" s="133">
        <v>2010199</v>
      </c>
      <c r="B12" s="134" t="s">
        <v>2272</v>
      </c>
      <c r="C12" s="135">
        <f t="shared" si="2"/>
        <v>21</v>
      </c>
      <c r="D12" s="135"/>
      <c r="E12" s="135"/>
      <c r="F12" s="135"/>
      <c r="G12" s="135">
        <v>21</v>
      </c>
    </row>
    <row r="13" ht="17" customHeight="1" spans="1:7">
      <c r="A13" s="133">
        <v>20102</v>
      </c>
      <c r="B13" s="134" t="s">
        <v>2273</v>
      </c>
      <c r="C13" s="135">
        <f t="shared" ref="C13:G13" si="3">SUM(C14:C15)</f>
        <v>1513.812553</v>
      </c>
      <c r="D13" s="135">
        <f t="shared" si="3"/>
        <v>968.160991</v>
      </c>
      <c r="E13" s="135">
        <f t="shared" si="3"/>
        <v>185.111562</v>
      </c>
      <c r="F13" s="135">
        <f t="shared" si="3"/>
        <v>0</v>
      </c>
      <c r="G13" s="135">
        <f t="shared" si="3"/>
        <v>360.54</v>
      </c>
    </row>
    <row r="14" ht="17" customHeight="1" spans="1:7">
      <c r="A14" s="133">
        <v>2010201</v>
      </c>
      <c r="B14" s="134" t="s">
        <v>2269</v>
      </c>
      <c r="C14" s="135">
        <f t="shared" ref="C14:C18" si="4">D14+E14+F14+G14</f>
        <v>1153.272553</v>
      </c>
      <c r="D14" s="135">
        <v>968.160991</v>
      </c>
      <c r="E14" s="135">
        <v>185.111562</v>
      </c>
      <c r="F14" s="135"/>
      <c r="G14" s="135"/>
    </row>
    <row r="15" ht="17" customHeight="1" spans="1:7">
      <c r="A15" s="133">
        <v>2010299</v>
      </c>
      <c r="B15" s="134" t="s">
        <v>2274</v>
      </c>
      <c r="C15" s="135">
        <f t="shared" si="4"/>
        <v>360.54</v>
      </c>
      <c r="D15" s="135"/>
      <c r="E15" s="135"/>
      <c r="F15" s="135"/>
      <c r="G15" s="135">
        <v>360.54</v>
      </c>
    </row>
    <row r="16" ht="17" customHeight="1" spans="1:7">
      <c r="A16" s="133">
        <v>20103</v>
      </c>
      <c r="B16" s="134" t="s">
        <v>2275</v>
      </c>
      <c r="C16" s="135">
        <f t="shared" ref="C16:G16" si="5">SUM(C17:C18)</f>
        <v>45434.546103</v>
      </c>
      <c r="D16" s="135">
        <f t="shared" si="5"/>
        <v>19653.552283</v>
      </c>
      <c r="E16" s="135">
        <f t="shared" si="5"/>
        <v>2905.88982</v>
      </c>
      <c r="F16" s="135">
        <f t="shared" si="5"/>
        <v>65.66</v>
      </c>
      <c r="G16" s="135">
        <f t="shared" si="5"/>
        <v>22809.444</v>
      </c>
    </row>
    <row r="17" ht="17" customHeight="1" spans="1:7">
      <c r="A17" s="133">
        <v>2010301</v>
      </c>
      <c r="B17" s="134" t="s">
        <v>2269</v>
      </c>
      <c r="C17" s="135">
        <f t="shared" si="4"/>
        <v>24355.597451</v>
      </c>
      <c r="D17" s="135">
        <v>16400.243287</v>
      </c>
      <c r="E17" s="135">
        <v>2609.346164</v>
      </c>
      <c r="F17" s="135"/>
      <c r="G17" s="135">
        <v>5346.008</v>
      </c>
    </row>
    <row r="18" ht="17" customHeight="1" spans="1:7">
      <c r="A18" s="133">
        <v>2010399</v>
      </c>
      <c r="B18" s="134" t="s">
        <v>2276</v>
      </c>
      <c r="C18" s="135">
        <f t="shared" si="4"/>
        <v>21078.948652</v>
      </c>
      <c r="D18" s="135">
        <v>3253.308996</v>
      </c>
      <c r="E18" s="135">
        <v>296.543656</v>
      </c>
      <c r="F18" s="135">
        <v>65.66</v>
      </c>
      <c r="G18" s="135">
        <f>17563.436-100</f>
        <v>17463.436</v>
      </c>
    </row>
    <row r="19" ht="17" customHeight="1" spans="1:7">
      <c r="A19" s="133">
        <v>20104</v>
      </c>
      <c r="B19" s="134" t="s">
        <v>2277</v>
      </c>
      <c r="C19" s="135">
        <f t="shared" ref="C19:G19" si="6">SUM(C20:C23)</f>
        <v>2912.071597</v>
      </c>
      <c r="D19" s="135">
        <f t="shared" si="6"/>
        <v>1492.955017</v>
      </c>
      <c r="E19" s="135">
        <f t="shared" si="6"/>
        <v>144.43658</v>
      </c>
      <c r="F19" s="135">
        <f t="shared" si="6"/>
        <v>350</v>
      </c>
      <c r="G19" s="135">
        <f t="shared" si="6"/>
        <v>924.68</v>
      </c>
    </row>
    <row r="20" ht="17" customHeight="1" spans="1:7">
      <c r="A20" s="133">
        <v>2010401</v>
      </c>
      <c r="B20" s="134" t="s">
        <v>2269</v>
      </c>
      <c r="C20" s="135">
        <f t="shared" ref="C20:C23" si="7">D20+E20+F20+G20</f>
        <v>1637.391597</v>
      </c>
      <c r="D20" s="135">
        <v>1492.955017</v>
      </c>
      <c r="E20" s="135">
        <v>144.43658</v>
      </c>
      <c r="F20" s="135"/>
      <c r="G20" s="135"/>
    </row>
    <row r="21" ht="17" customHeight="1" spans="1:7">
      <c r="A21" s="133">
        <v>2010404</v>
      </c>
      <c r="B21" s="134" t="s">
        <v>2278</v>
      </c>
      <c r="C21" s="135">
        <f t="shared" si="7"/>
        <v>56.08</v>
      </c>
      <c r="D21" s="135"/>
      <c r="E21" s="135"/>
      <c r="F21" s="135"/>
      <c r="G21" s="135">
        <v>56.08</v>
      </c>
    </row>
    <row r="22" ht="17" customHeight="1" spans="1:7">
      <c r="A22" s="133">
        <v>2010406</v>
      </c>
      <c r="B22" s="134" t="s">
        <v>2279</v>
      </c>
      <c r="C22" s="135">
        <f t="shared" si="7"/>
        <v>194.3</v>
      </c>
      <c r="D22" s="135"/>
      <c r="E22" s="135"/>
      <c r="F22" s="135"/>
      <c r="G22" s="135">
        <v>194.3</v>
      </c>
    </row>
    <row r="23" ht="17" customHeight="1" spans="1:7">
      <c r="A23" s="133">
        <v>2010499</v>
      </c>
      <c r="B23" s="134" t="s">
        <v>2280</v>
      </c>
      <c r="C23" s="135">
        <f t="shared" si="7"/>
        <v>1024.3</v>
      </c>
      <c r="D23" s="135"/>
      <c r="E23" s="135"/>
      <c r="F23" s="135">
        <v>350</v>
      </c>
      <c r="G23" s="135">
        <f>774.3-100</f>
        <v>674.3</v>
      </c>
    </row>
    <row r="24" ht="17" customHeight="1" spans="1:7">
      <c r="A24" s="133">
        <v>20105</v>
      </c>
      <c r="B24" s="134" t="s">
        <v>2281</v>
      </c>
      <c r="C24" s="135">
        <f t="shared" ref="C24:G24" si="8">SUM(C25:C28)</f>
        <v>2235.025044</v>
      </c>
      <c r="D24" s="135">
        <f t="shared" si="8"/>
        <v>639.883431</v>
      </c>
      <c r="E24" s="135">
        <f t="shared" si="8"/>
        <v>51.621613</v>
      </c>
      <c r="F24" s="135">
        <f t="shared" si="8"/>
        <v>7</v>
      </c>
      <c r="G24" s="135">
        <f t="shared" si="8"/>
        <v>1536.52</v>
      </c>
    </row>
    <row r="25" ht="17" customHeight="1" spans="1:7">
      <c r="A25" s="133">
        <v>2010501</v>
      </c>
      <c r="B25" s="134" t="s">
        <v>2269</v>
      </c>
      <c r="C25" s="135">
        <f t="shared" ref="C25:C28" si="9">D25+E25+F25+G25</f>
        <v>521.467822</v>
      </c>
      <c r="D25" s="135">
        <v>475.440976</v>
      </c>
      <c r="E25" s="135">
        <v>39.026846</v>
      </c>
      <c r="F25" s="135">
        <v>7</v>
      </c>
      <c r="G25" s="135"/>
    </row>
    <row r="26" ht="17" customHeight="1" spans="1:7">
      <c r="A26" s="133">
        <v>2010507</v>
      </c>
      <c r="B26" s="134" t="s">
        <v>2282</v>
      </c>
      <c r="C26" s="135">
        <f t="shared" si="9"/>
        <v>598</v>
      </c>
      <c r="D26" s="135"/>
      <c r="E26" s="135"/>
      <c r="F26" s="135"/>
      <c r="G26" s="135">
        <v>598</v>
      </c>
    </row>
    <row r="27" ht="17" customHeight="1" spans="1:7">
      <c r="A27" s="133">
        <v>2010550</v>
      </c>
      <c r="B27" s="134" t="s">
        <v>2283</v>
      </c>
      <c r="C27" s="135">
        <f t="shared" si="9"/>
        <v>636.017222</v>
      </c>
      <c r="D27" s="135">
        <v>164.442455</v>
      </c>
      <c r="E27" s="135">
        <v>12.594767</v>
      </c>
      <c r="F27" s="135"/>
      <c r="G27" s="135">
        <v>458.98</v>
      </c>
    </row>
    <row r="28" ht="17" customHeight="1" spans="1:7">
      <c r="A28" s="133">
        <v>2010599</v>
      </c>
      <c r="B28" s="134" t="s">
        <v>2284</v>
      </c>
      <c r="C28" s="135">
        <f t="shared" si="9"/>
        <v>479.54</v>
      </c>
      <c r="D28" s="135"/>
      <c r="E28" s="135"/>
      <c r="F28" s="135"/>
      <c r="G28" s="135">
        <v>479.54</v>
      </c>
    </row>
    <row r="29" ht="17" customHeight="1" spans="1:7">
      <c r="A29" s="133">
        <v>20106</v>
      </c>
      <c r="B29" s="134" t="s">
        <v>2285</v>
      </c>
      <c r="C29" s="135">
        <f t="shared" ref="C29:G29" si="10">SUM(C30:C33)</f>
        <v>9468.499644</v>
      </c>
      <c r="D29" s="135">
        <f t="shared" si="10"/>
        <v>6224.141862</v>
      </c>
      <c r="E29" s="135">
        <f t="shared" si="10"/>
        <v>428.977782</v>
      </c>
      <c r="F29" s="135">
        <f t="shared" si="10"/>
        <v>206.4</v>
      </c>
      <c r="G29" s="135">
        <f t="shared" si="10"/>
        <v>2608.98</v>
      </c>
    </row>
    <row r="30" ht="17" customHeight="1" spans="1:7">
      <c r="A30" s="133">
        <v>2010601</v>
      </c>
      <c r="B30" s="134" t="s">
        <v>2269</v>
      </c>
      <c r="C30" s="135">
        <f t="shared" ref="C30:C33" si="11">D30+E30+F30+G30</f>
        <v>3004.035745</v>
      </c>
      <c r="D30" s="135">
        <v>2788.719387</v>
      </c>
      <c r="E30" s="135">
        <v>215.316358</v>
      </c>
      <c r="F30" s="135"/>
      <c r="G30" s="135"/>
    </row>
    <row r="31" ht="17" customHeight="1" spans="1:7">
      <c r="A31" s="133">
        <v>2010608</v>
      </c>
      <c r="B31" s="134" t="s">
        <v>2286</v>
      </c>
      <c r="C31" s="135">
        <f t="shared" si="11"/>
        <v>1230</v>
      </c>
      <c r="D31" s="135"/>
      <c r="E31" s="135"/>
      <c r="F31" s="135"/>
      <c r="G31" s="135">
        <v>1230</v>
      </c>
    </row>
    <row r="32" ht="17" customHeight="1" spans="1:7">
      <c r="A32" s="133">
        <v>2010650</v>
      </c>
      <c r="B32" s="134" t="s">
        <v>2283</v>
      </c>
      <c r="C32" s="135">
        <f t="shared" si="11"/>
        <v>3826.163899</v>
      </c>
      <c r="D32" s="135">
        <v>3435.422475</v>
      </c>
      <c r="E32" s="135">
        <v>213.661424</v>
      </c>
      <c r="F32" s="135"/>
      <c r="G32" s="135">
        <v>177.08</v>
      </c>
    </row>
    <row r="33" ht="17" customHeight="1" spans="1:7">
      <c r="A33" s="133">
        <v>2010699</v>
      </c>
      <c r="B33" s="134" t="s">
        <v>2287</v>
      </c>
      <c r="C33" s="135">
        <f t="shared" si="11"/>
        <v>1408.3</v>
      </c>
      <c r="D33" s="135"/>
      <c r="E33" s="135"/>
      <c r="F33" s="135">
        <v>206.4</v>
      </c>
      <c r="G33" s="135">
        <v>1201.9</v>
      </c>
    </row>
    <row r="34" ht="17" customHeight="1" spans="1:7">
      <c r="A34" s="133">
        <v>20107</v>
      </c>
      <c r="B34" s="134" t="s">
        <v>2288</v>
      </c>
      <c r="C34" s="135">
        <f t="shared" ref="C34:G34" si="12">SUM(C35)</f>
        <v>7080</v>
      </c>
      <c r="D34" s="135">
        <f t="shared" si="12"/>
        <v>0</v>
      </c>
      <c r="E34" s="135">
        <f t="shared" si="12"/>
        <v>0</v>
      </c>
      <c r="F34" s="135">
        <f t="shared" si="12"/>
        <v>2640</v>
      </c>
      <c r="G34" s="135">
        <f t="shared" si="12"/>
        <v>4440</v>
      </c>
    </row>
    <row r="35" ht="17" customHeight="1" spans="1:7">
      <c r="A35" s="133">
        <v>2010799</v>
      </c>
      <c r="B35" s="134" t="s">
        <v>2289</v>
      </c>
      <c r="C35" s="135">
        <f t="shared" ref="C35:C39" si="13">D35+E35+F35+G35</f>
        <v>7080</v>
      </c>
      <c r="D35" s="135"/>
      <c r="E35" s="135"/>
      <c r="F35" s="135">
        <v>2640</v>
      </c>
      <c r="G35" s="135">
        <v>4440</v>
      </c>
    </row>
    <row r="36" ht="17" customHeight="1" spans="1:7">
      <c r="A36" s="133">
        <v>20108</v>
      </c>
      <c r="B36" s="134" t="s">
        <v>2290</v>
      </c>
      <c r="C36" s="135">
        <f t="shared" ref="C36:G36" si="14">SUM(C37:C39)</f>
        <v>1408.005727</v>
      </c>
      <c r="D36" s="135">
        <f t="shared" si="14"/>
        <v>750.526273</v>
      </c>
      <c r="E36" s="135">
        <f t="shared" si="14"/>
        <v>82.479454</v>
      </c>
      <c r="F36" s="135">
        <f t="shared" si="14"/>
        <v>0</v>
      </c>
      <c r="G36" s="135">
        <f t="shared" si="14"/>
        <v>575</v>
      </c>
    </row>
    <row r="37" ht="17" customHeight="1" spans="1:7">
      <c r="A37" s="133">
        <v>2010801</v>
      </c>
      <c r="B37" s="134" t="s">
        <v>2269</v>
      </c>
      <c r="C37" s="135">
        <f t="shared" si="13"/>
        <v>833.005727</v>
      </c>
      <c r="D37" s="135">
        <v>750.526273</v>
      </c>
      <c r="E37" s="135">
        <v>82.479454</v>
      </c>
      <c r="F37" s="135"/>
      <c r="G37" s="135"/>
    </row>
    <row r="38" ht="17" customHeight="1" spans="1:7">
      <c r="A38" s="133">
        <v>2010804</v>
      </c>
      <c r="B38" s="134" t="s">
        <v>2291</v>
      </c>
      <c r="C38" s="135">
        <f t="shared" si="13"/>
        <v>260</v>
      </c>
      <c r="D38" s="135"/>
      <c r="E38" s="135"/>
      <c r="F38" s="135"/>
      <c r="G38" s="135">
        <v>260</v>
      </c>
    </row>
    <row r="39" ht="17" customHeight="1" spans="1:7">
      <c r="A39" s="133">
        <v>2010899</v>
      </c>
      <c r="B39" s="134" t="s">
        <v>2292</v>
      </c>
      <c r="C39" s="135">
        <f t="shared" si="13"/>
        <v>315</v>
      </c>
      <c r="D39" s="135"/>
      <c r="E39" s="135"/>
      <c r="F39" s="135"/>
      <c r="G39" s="135">
        <v>315</v>
      </c>
    </row>
    <row r="40" ht="17" customHeight="1" spans="1:7">
      <c r="A40" s="133">
        <v>20111</v>
      </c>
      <c r="B40" s="134" t="s">
        <v>2293</v>
      </c>
      <c r="C40" s="135">
        <f t="shared" ref="C40:G40" si="15">SUM(C41:C42)</f>
        <v>4756.661185</v>
      </c>
      <c r="D40" s="135">
        <f t="shared" si="15"/>
        <v>2951.049001</v>
      </c>
      <c r="E40" s="135">
        <f t="shared" si="15"/>
        <v>545.792184</v>
      </c>
      <c r="F40" s="135">
        <f t="shared" si="15"/>
        <v>139</v>
      </c>
      <c r="G40" s="135">
        <f t="shared" si="15"/>
        <v>1120.82</v>
      </c>
    </row>
    <row r="41" ht="17" customHeight="1" spans="1:7">
      <c r="A41" s="133">
        <v>2011101</v>
      </c>
      <c r="B41" s="134" t="s">
        <v>2269</v>
      </c>
      <c r="C41" s="135">
        <f t="shared" ref="C41:C47" si="16">D41+E41+F41+G41</f>
        <v>4099.841185</v>
      </c>
      <c r="D41" s="135">
        <v>2951.049001</v>
      </c>
      <c r="E41" s="135">
        <v>545.792184</v>
      </c>
      <c r="F41" s="135"/>
      <c r="G41" s="135">
        <v>603</v>
      </c>
    </row>
    <row r="42" ht="17" customHeight="1" spans="1:7">
      <c r="A42" s="133">
        <v>2011199</v>
      </c>
      <c r="B42" s="134" t="s">
        <v>2294</v>
      </c>
      <c r="C42" s="135">
        <f t="shared" si="16"/>
        <v>656.82</v>
      </c>
      <c r="D42" s="135"/>
      <c r="E42" s="135"/>
      <c r="F42" s="135">
        <v>139</v>
      </c>
      <c r="G42" s="135">
        <v>517.82</v>
      </c>
    </row>
    <row r="43" ht="17" customHeight="1" spans="1:7">
      <c r="A43" s="133">
        <v>20113</v>
      </c>
      <c r="B43" s="134" t="s">
        <v>2295</v>
      </c>
      <c r="C43" s="135">
        <f t="shared" ref="C43:G43" si="17">SUM(C44:C47)</f>
        <v>6719.136675</v>
      </c>
      <c r="D43" s="135">
        <f t="shared" si="17"/>
        <v>2124.849325</v>
      </c>
      <c r="E43" s="135">
        <f t="shared" si="17"/>
        <v>202.89735</v>
      </c>
      <c r="F43" s="135">
        <f t="shared" si="17"/>
        <v>0</v>
      </c>
      <c r="G43" s="135">
        <f t="shared" si="17"/>
        <v>4391.39</v>
      </c>
    </row>
    <row r="44" ht="17" customHeight="1" spans="1:7">
      <c r="A44" s="133">
        <v>2011301</v>
      </c>
      <c r="B44" s="134" t="s">
        <v>2269</v>
      </c>
      <c r="C44" s="135">
        <f t="shared" si="16"/>
        <v>467.220461</v>
      </c>
      <c r="D44" s="135">
        <v>418.501257</v>
      </c>
      <c r="E44" s="135">
        <v>48.719204</v>
      </c>
      <c r="F44" s="135"/>
      <c r="G44" s="135"/>
    </row>
    <row r="45" ht="17" customHeight="1" spans="1:7">
      <c r="A45" s="133">
        <v>2011308</v>
      </c>
      <c r="B45" s="134" t="s">
        <v>2296</v>
      </c>
      <c r="C45" s="135">
        <f t="shared" si="16"/>
        <v>4275.638854</v>
      </c>
      <c r="D45" s="135">
        <v>858.532102</v>
      </c>
      <c r="E45" s="135">
        <v>87.216752</v>
      </c>
      <c r="F45" s="135"/>
      <c r="G45" s="135">
        <v>3329.89</v>
      </c>
    </row>
    <row r="46" ht="17" customHeight="1" spans="1:7">
      <c r="A46" s="133">
        <v>2011350</v>
      </c>
      <c r="B46" s="134" t="s">
        <v>2283</v>
      </c>
      <c r="C46" s="135">
        <f t="shared" si="16"/>
        <v>544.00277</v>
      </c>
      <c r="D46" s="135">
        <v>504.722768</v>
      </c>
      <c r="E46" s="135">
        <v>39.280002</v>
      </c>
      <c r="F46" s="135"/>
      <c r="G46" s="135"/>
    </row>
    <row r="47" ht="17" customHeight="1" spans="1:7">
      <c r="A47" s="133">
        <v>2011399</v>
      </c>
      <c r="B47" s="134" t="s">
        <v>2297</v>
      </c>
      <c r="C47" s="135">
        <f t="shared" si="16"/>
        <v>1432.27459</v>
      </c>
      <c r="D47" s="135">
        <v>343.093198</v>
      </c>
      <c r="E47" s="135">
        <v>27.681392</v>
      </c>
      <c r="F47" s="135"/>
      <c r="G47" s="135">
        <v>1061.5</v>
      </c>
    </row>
    <row r="48" ht="17" customHeight="1" spans="1:7">
      <c r="A48" s="133">
        <v>20123</v>
      </c>
      <c r="B48" s="134" t="s">
        <v>2298</v>
      </c>
      <c r="C48" s="135">
        <f t="shared" ref="C48:G48" si="18">SUM(C49)</f>
        <v>44</v>
      </c>
      <c r="D48" s="135">
        <f t="shared" si="18"/>
        <v>0</v>
      </c>
      <c r="E48" s="135">
        <f t="shared" si="18"/>
        <v>0</v>
      </c>
      <c r="F48" s="135">
        <f t="shared" si="18"/>
        <v>0</v>
      </c>
      <c r="G48" s="135">
        <f t="shared" si="18"/>
        <v>44</v>
      </c>
    </row>
    <row r="49" ht="17" customHeight="1" spans="1:7">
      <c r="A49" s="133">
        <v>2012304</v>
      </c>
      <c r="B49" s="134" t="s">
        <v>2299</v>
      </c>
      <c r="C49" s="135">
        <f t="shared" ref="C49:C53" si="19">D49+E49+F49+G49</f>
        <v>44</v>
      </c>
      <c r="D49" s="135"/>
      <c r="E49" s="135"/>
      <c r="F49" s="135"/>
      <c r="G49" s="135">
        <v>44</v>
      </c>
    </row>
    <row r="50" ht="17" customHeight="1" spans="1:7">
      <c r="A50" s="133">
        <v>20126</v>
      </c>
      <c r="B50" s="134" t="s">
        <v>2300</v>
      </c>
      <c r="C50" s="135">
        <f t="shared" ref="C50:G50" si="20">SUM(C51:C53)</f>
        <v>803.547181</v>
      </c>
      <c r="D50" s="135">
        <f t="shared" si="20"/>
        <v>579.390109</v>
      </c>
      <c r="E50" s="135">
        <f t="shared" si="20"/>
        <v>64.157072</v>
      </c>
      <c r="F50" s="135">
        <f t="shared" si="20"/>
        <v>0</v>
      </c>
      <c r="G50" s="135">
        <f t="shared" si="20"/>
        <v>160</v>
      </c>
    </row>
    <row r="51" ht="17" customHeight="1" spans="1:7">
      <c r="A51" s="133">
        <v>2012601</v>
      </c>
      <c r="B51" s="134" t="s">
        <v>2269</v>
      </c>
      <c r="C51" s="135">
        <f t="shared" si="19"/>
        <v>643.547181</v>
      </c>
      <c r="D51" s="135">
        <v>579.390109</v>
      </c>
      <c r="E51" s="135">
        <v>64.157072</v>
      </c>
      <c r="F51" s="135"/>
      <c r="G51" s="135"/>
    </row>
    <row r="52" ht="17" customHeight="1" spans="1:7">
      <c r="A52" s="133">
        <v>2012604</v>
      </c>
      <c r="B52" s="134" t="s">
        <v>2301</v>
      </c>
      <c r="C52" s="135">
        <f t="shared" si="19"/>
        <v>124</v>
      </c>
      <c r="D52" s="135"/>
      <c r="E52" s="135"/>
      <c r="F52" s="135"/>
      <c r="G52" s="135">
        <v>124</v>
      </c>
    </row>
    <row r="53" ht="17" customHeight="1" spans="1:7">
      <c r="A53" s="133">
        <v>2012699</v>
      </c>
      <c r="B53" s="134" t="s">
        <v>2302</v>
      </c>
      <c r="C53" s="135">
        <f t="shared" si="19"/>
        <v>36</v>
      </c>
      <c r="D53" s="135"/>
      <c r="E53" s="135"/>
      <c r="F53" s="135"/>
      <c r="G53" s="135">
        <v>36</v>
      </c>
    </row>
    <row r="54" ht="17" customHeight="1" spans="1:7">
      <c r="A54" s="133">
        <v>20128</v>
      </c>
      <c r="B54" s="134" t="s">
        <v>2303</v>
      </c>
      <c r="C54" s="135">
        <f t="shared" ref="C54:G54" si="21">SUM(C55:C56)</f>
        <v>590.908752</v>
      </c>
      <c r="D54" s="135">
        <f t="shared" si="21"/>
        <v>254.82507</v>
      </c>
      <c r="E54" s="135">
        <f t="shared" si="21"/>
        <v>31.083682</v>
      </c>
      <c r="F54" s="135">
        <f t="shared" si="21"/>
        <v>0</v>
      </c>
      <c r="G54" s="135">
        <f t="shared" si="21"/>
        <v>305</v>
      </c>
    </row>
    <row r="55" ht="17" customHeight="1" spans="1:7">
      <c r="A55" s="133">
        <v>2012801</v>
      </c>
      <c r="B55" s="134" t="s">
        <v>2269</v>
      </c>
      <c r="C55" s="135">
        <f t="shared" ref="C55:C60" si="22">D55+E55+F55+G55</f>
        <v>285.908752</v>
      </c>
      <c r="D55" s="135">
        <v>254.82507</v>
      </c>
      <c r="E55" s="135">
        <v>31.083682</v>
      </c>
      <c r="F55" s="135"/>
      <c r="G55" s="135"/>
    </row>
    <row r="56" ht="17" customHeight="1" spans="1:7">
      <c r="A56" s="133">
        <v>2012899</v>
      </c>
      <c r="B56" s="134" t="s">
        <v>2304</v>
      </c>
      <c r="C56" s="135">
        <f t="shared" si="22"/>
        <v>305</v>
      </c>
      <c r="D56" s="135"/>
      <c r="E56" s="135"/>
      <c r="F56" s="135"/>
      <c r="G56" s="135">
        <v>305</v>
      </c>
    </row>
    <row r="57" ht="17" customHeight="1" spans="1:7">
      <c r="A57" s="133">
        <v>20129</v>
      </c>
      <c r="B57" s="134" t="s">
        <v>2305</v>
      </c>
      <c r="C57" s="135">
        <f t="shared" ref="C57:G57" si="23">SUM(C58:C60)</f>
        <v>980.718228</v>
      </c>
      <c r="D57" s="135">
        <f t="shared" si="23"/>
        <v>535.463109</v>
      </c>
      <c r="E57" s="135">
        <f t="shared" si="23"/>
        <v>48.255119</v>
      </c>
      <c r="F57" s="135">
        <f t="shared" si="23"/>
        <v>0</v>
      </c>
      <c r="G57" s="135">
        <f t="shared" si="23"/>
        <v>397</v>
      </c>
    </row>
    <row r="58" ht="17" customHeight="1" spans="1:7">
      <c r="A58" s="133">
        <v>2012901</v>
      </c>
      <c r="B58" s="134" t="s">
        <v>2269</v>
      </c>
      <c r="C58" s="135">
        <f t="shared" si="22"/>
        <v>596.470228</v>
      </c>
      <c r="D58" s="135">
        <v>535.463109</v>
      </c>
      <c r="E58" s="135">
        <v>42.007119</v>
      </c>
      <c r="F58" s="135"/>
      <c r="G58" s="135">
        <v>19</v>
      </c>
    </row>
    <row r="59" ht="17" customHeight="1" spans="1:7">
      <c r="A59" s="133">
        <v>2012906</v>
      </c>
      <c r="B59" s="134" t="s">
        <v>2306</v>
      </c>
      <c r="C59" s="135">
        <f t="shared" si="22"/>
        <v>50</v>
      </c>
      <c r="D59" s="135"/>
      <c r="E59" s="135"/>
      <c r="F59" s="135"/>
      <c r="G59" s="135">
        <v>50</v>
      </c>
    </row>
    <row r="60" ht="17" customHeight="1" spans="1:7">
      <c r="A60" s="133">
        <v>2012999</v>
      </c>
      <c r="B60" s="134" t="s">
        <v>2307</v>
      </c>
      <c r="C60" s="135">
        <f t="shared" si="22"/>
        <v>334.248</v>
      </c>
      <c r="D60" s="135"/>
      <c r="E60" s="135">
        <v>6.248</v>
      </c>
      <c r="F60" s="135"/>
      <c r="G60" s="135">
        <v>328</v>
      </c>
    </row>
    <row r="61" ht="17" customHeight="1" spans="1:7">
      <c r="A61" s="133">
        <v>20131</v>
      </c>
      <c r="B61" s="134" t="s">
        <v>2308</v>
      </c>
      <c r="C61" s="135">
        <f t="shared" ref="C61:G61" si="24">SUM(C62:C63)</f>
        <v>2699.960186</v>
      </c>
      <c r="D61" s="135">
        <f t="shared" si="24"/>
        <v>1476.37098</v>
      </c>
      <c r="E61" s="135">
        <f t="shared" si="24"/>
        <v>255.289206</v>
      </c>
      <c r="F61" s="135">
        <f t="shared" si="24"/>
        <v>0</v>
      </c>
      <c r="G61" s="135">
        <f t="shared" si="24"/>
        <v>968.3</v>
      </c>
    </row>
    <row r="62" ht="17" customHeight="1" spans="1:7">
      <c r="A62" s="133">
        <v>2013101</v>
      </c>
      <c r="B62" s="134" t="s">
        <v>2269</v>
      </c>
      <c r="C62" s="135">
        <f t="shared" ref="C62:C66" si="25">D62+E62+F62+G62</f>
        <v>1768.460186</v>
      </c>
      <c r="D62" s="135">
        <v>1476.37098</v>
      </c>
      <c r="E62" s="135">
        <v>255.289206</v>
      </c>
      <c r="F62" s="135"/>
      <c r="G62" s="135">
        <v>36.8</v>
      </c>
    </row>
    <row r="63" ht="17" customHeight="1" spans="1:7">
      <c r="A63" s="133">
        <v>2013199</v>
      </c>
      <c r="B63" s="134" t="s">
        <v>2309</v>
      </c>
      <c r="C63" s="135">
        <f t="shared" si="25"/>
        <v>931.5</v>
      </c>
      <c r="D63" s="135"/>
      <c r="E63" s="135"/>
      <c r="F63" s="135"/>
      <c r="G63" s="135">
        <v>931.5</v>
      </c>
    </row>
    <row r="64" ht="17" customHeight="1" spans="1:7">
      <c r="A64" s="133">
        <v>20132</v>
      </c>
      <c r="B64" s="134" t="s">
        <v>2310</v>
      </c>
      <c r="C64" s="135">
        <f t="shared" ref="C64:G64" si="26">SUM(C65:C66)</f>
        <v>6487.370348</v>
      </c>
      <c r="D64" s="135">
        <f t="shared" si="26"/>
        <v>1122.70532</v>
      </c>
      <c r="E64" s="135">
        <f t="shared" si="26"/>
        <v>130.555028</v>
      </c>
      <c r="F64" s="135">
        <f t="shared" si="26"/>
        <v>10.75</v>
      </c>
      <c r="G64" s="135">
        <f t="shared" si="26"/>
        <v>5223.36</v>
      </c>
    </row>
    <row r="65" ht="17" customHeight="1" spans="1:7">
      <c r="A65" s="133">
        <v>2013201</v>
      </c>
      <c r="B65" s="134" t="s">
        <v>2269</v>
      </c>
      <c r="C65" s="135">
        <f t="shared" si="25"/>
        <v>1243.260348</v>
      </c>
      <c r="D65" s="135">
        <v>1122.70532</v>
      </c>
      <c r="E65" s="135">
        <v>120.555028</v>
      </c>
      <c r="F65" s="135"/>
      <c r="G65" s="135"/>
    </row>
    <row r="66" ht="17" customHeight="1" spans="1:7">
      <c r="A66" s="133">
        <v>2013299</v>
      </c>
      <c r="B66" s="134" t="s">
        <v>2311</v>
      </c>
      <c r="C66" s="135">
        <f t="shared" si="25"/>
        <v>5244.11</v>
      </c>
      <c r="D66" s="135"/>
      <c r="E66" s="135">
        <v>10</v>
      </c>
      <c r="F66" s="135">
        <v>10.75</v>
      </c>
      <c r="G66" s="135">
        <v>5223.36</v>
      </c>
    </row>
    <row r="67" ht="17" customHeight="1" spans="1:7">
      <c r="A67" s="133">
        <v>20133</v>
      </c>
      <c r="B67" s="134" t="s">
        <v>2312</v>
      </c>
      <c r="C67" s="135">
        <f t="shared" ref="C67:G67" si="27">SUM(C68:C69)</f>
        <v>2041.905777</v>
      </c>
      <c r="D67" s="135">
        <f t="shared" si="27"/>
        <v>464.112959</v>
      </c>
      <c r="E67" s="135">
        <f t="shared" si="27"/>
        <v>60.992818</v>
      </c>
      <c r="F67" s="135">
        <f t="shared" si="27"/>
        <v>0</v>
      </c>
      <c r="G67" s="135">
        <f t="shared" si="27"/>
        <v>1516.8</v>
      </c>
    </row>
    <row r="68" ht="17" customHeight="1" spans="1:7">
      <c r="A68" s="133">
        <v>2013301</v>
      </c>
      <c r="B68" s="134" t="s">
        <v>2269</v>
      </c>
      <c r="C68" s="135">
        <f t="shared" ref="C68:C73" si="28">D68+E68+F68+G68</f>
        <v>525.105777</v>
      </c>
      <c r="D68" s="135">
        <v>464.112959</v>
      </c>
      <c r="E68" s="135">
        <v>60.992818</v>
      </c>
      <c r="F68" s="135"/>
      <c r="G68" s="135"/>
    </row>
    <row r="69" ht="17" customHeight="1" spans="1:7">
      <c r="A69" s="133">
        <v>2013399</v>
      </c>
      <c r="B69" s="134" t="s">
        <v>2313</v>
      </c>
      <c r="C69" s="135">
        <f t="shared" si="28"/>
        <v>1516.8</v>
      </c>
      <c r="D69" s="135"/>
      <c r="E69" s="135"/>
      <c r="F69" s="135"/>
      <c r="G69" s="135">
        <v>1516.8</v>
      </c>
    </row>
    <row r="70" ht="17" customHeight="1" spans="1:7">
      <c r="A70" s="133">
        <v>20134</v>
      </c>
      <c r="B70" s="134" t="s">
        <v>2314</v>
      </c>
      <c r="C70" s="135">
        <f t="shared" ref="C70:G70" si="29">SUM(C71:C73)</f>
        <v>603.564334</v>
      </c>
      <c r="D70" s="135">
        <f t="shared" si="29"/>
        <v>401.80245</v>
      </c>
      <c r="E70" s="135">
        <f t="shared" si="29"/>
        <v>53.261884</v>
      </c>
      <c r="F70" s="135">
        <f t="shared" si="29"/>
        <v>0</v>
      </c>
      <c r="G70" s="135">
        <f t="shared" si="29"/>
        <v>148.5</v>
      </c>
    </row>
    <row r="71" ht="17" customHeight="1" spans="1:7">
      <c r="A71" s="133">
        <v>2013401</v>
      </c>
      <c r="B71" s="134" t="s">
        <v>2269</v>
      </c>
      <c r="C71" s="135">
        <f t="shared" si="28"/>
        <v>455.064334</v>
      </c>
      <c r="D71" s="135">
        <v>401.80245</v>
      </c>
      <c r="E71" s="135">
        <v>53.261884</v>
      </c>
      <c r="F71" s="135"/>
      <c r="G71" s="135"/>
    </row>
    <row r="72" ht="17" customHeight="1" spans="1:7">
      <c r="A72" s="133">
        <v>2013404</v>
      </c>
      <c r="B72" s="134" t="s">
        <v>2315</v>
      </c>
      <c r="C72" s="135">
        <f t="shared" si="28"/>
        <v>17.5</v>
      </c>
      <c r="D72" s="135"/>
      <c r="E72" s="135"/>
      <c r="F72" s="135"/>
      <c r="G72" s="135">
        <v>17.5</v>
      </c>
    </row>
    <row r="73" ht="17" customHeight="1" spans="1:7">
      <c r="A73" s="133">
        <v>2013499</v>
      </c>
      <c r="B73" s="134" t="s">
        <v>2316</v>
      </c>
      <c r="C73" s="135">
        <f t="shared" si="28"/>
        <v>131</v>
      </c>
      <c r="D73" s="135"/>
      <c r="E73" s="135"/>
      <c r="F73" s="135"/>
      <c r="G73" s="135">
        <v>131</v>
      </c>
    </row>
    <row r="74" ht="17" customHeight="1" spans="1:7">
      <c r="A74" s="133">
        <v>20136</v>
      </c>
      <c r="B74" s="134" t="s">
        <v>2317</v>
      </c>
      <c r="C74" s="135">
        <f t="shared" ref="C74:G74" si="30">SUM(C75:C76)</f>
        <v>2260.567476</v>
      </c>
      <c r="D74" s="135">
        <f t="shared" si="30"/>
        <v>713.86529</v>
      </c>
      <c r="E74" s="135">
        <f t="shared" si="30"/>
        <v>73.602186</v>
      </c>
      <c r="F74" s="135">
        <f t="shared" si="30"/>
        <v>0</v>
      </c>
      <c r="G74" s="135">
        <f t="shared" si="30"/>
        <v>1473.1</v>
      </c>
    </row>
    <row r="75" ht="17" customHeight="1" spans="1:7">
      <c r="A75" s="133">
        <v>2013601</v>
      </c>
      <c r="B75" s="134" t="s">
        <v>2269</v>
      </c>
      <c r="C75" s="135">
        <f t="shared" ref="C75:C80" si="31">D75+E75+F75+G75</f>
        <v>787.467476</v>
      </c>
      <c r="D75" s="135">
        <v>713.86529</v>
      </c>
      <c r="E75" s="135">
        <v>73.602186</v>
      </c>
      <c r="F75" s="135"/>
      <c r="G75" s="135"/>
    </row>
    <row r="76" ht="17" customHeight="1" spans="1:7">
      <c r="A76" s="133">
        <v>2013699</v>
      </c>
      <c r="B76" s="134" t="s">
        <v>2318</v>
      </c>
      <c r="C76" s="135">
        <f t="shared" si="31"/>
        <v>1473.1</v>
      </c>
      <c r="D76" s="135"/>
      <c r="E76" s="135"/>
      <c r="F76" s="135"/>
      <c r="G76" s="135">
        <v>1473.1</v>
      </c>
    </row>
    <row r="77" ht="17" customHeight="1" spans="1:7">
      <c r="A77" s="133">
        <v>20138</v>
      </c>
      <c r="B77" s="134" t="s">
        <v>2319</v>
      </c>
      <c r="C77" s="135">
        <f t="shared" ref="C77:G77" si="32">SUM(C78:C80)</f>
        <v>6532.22085</v>
      </c>
      <c r="D77" s="135">
        <f t="shared" si="32"/>
        <v>5505.337314</v>
      </c>
      <c r="E77" s="135">
        <f t="shared" si="32"/>
        <v>568.883536</v>
      </c>
      <c r="F77" s="135">
        <f t="shared" si="32"/>
        <v>0</v>
      </c>
      <c r="G77" s="135">
        <f t="shared" si="32"/>
        <v>458</v>
      </c>
    </row>
    <row r="78" ht="17" customHeight="1" spans="1:7">
      <c r="A78" s="133">
        <v>2013801</v>
      </c>
      <c r="B78" s="134" t="s">
        <v>2269</v>
      </c>
      <c r="C78" s="135">
        <f t="shared" si="31"/>
        <v>6267.22085</v>
      </c>
      <c r="D78" s="135">
        <v>5505.337314</v>
      </c>
      <c r="E78" s="135">
        <v>568.883536</v>
      </c>
      <c r="F78" s="135"/>
      <c r="G78" s="135">
        <v>193</v>
      </c>
    </row>
    <row r="79" ht="17" customHeight="1" spans="1:7">
      <c r="A79" s="133">
        <v>2013816</v>
      </c>
      <c r="B79" s="134" t="s">
        <v>2320</v>
      </c>
      <c r="C79" s="135">
        <f t="shared" si="31"/>
        <v>100</v>
      </c>
      <c r="D79" s="135"/>
      <c r="E79" s="135"/>
      <c r="F79" s="135"/>
      <c r="G79" s="135">
        <v>100</v>
      </c>
    </row>
    <row r="80" ht="17" customHeight="1" spans="1:7">
      <c r="A80" s="133">
        <v>2013899</v>
      </c>
      <c r="B80" s="134" t="s">
        <v>2321</v>
      </c>
      <c r="C80" s="135">
        <f t="shared" si="31"/>
        <v>165</v>
      </c>
      <c r="D80" s="135"/>
      <c r="E80" s="135"/>
      <c r="F80" s="135"/>
      <c r="G80" s="135">
        <v>165</v>
      </c>
    </row>
    <row r="81" ht="17" customHeight="1" spans="1:7">
      <c r="A81" s="133">
        <v>20139</v>
      </c>
      <c r="B81" s="134" t="s">
        <v>2322</v>
      </c>
      <c r="C81" s="135">
        <f t="shared" ref="C81:G81" si="33">SUM(C82)</f>
        <v>20</v>
      </c>
      <c r="D81" s="135">
        <f t="shared" si="33"/>
        <v>0</v>
      </c>
      <c r="E81" s="135">
        <f t="shared" si="33"/>
        <v>0</v>
      </c>
      <c r="F81" s="135">
        <f t="shared" si="33"/>
        <v>0</v>
      </c>
      <c r="G81" s="135">
        <f t="shared" si="33"/>
        <v>20</v>
      </c>
    </row>
    <row r="82" ht="17" customHeight="1" spans="1:7">
      <c r="A82" s="133">
        <v>2013999</v>
      </c>
      <c r="B82" s="134" t="s">
        <v>2323</v>
      </c>
      <c r="C82" s="135">
        <f t="shared" ref="C82:C85" si="34">D82+E82+F82+G82</f>
        <v>20</v>
      </c>
      <c r="D82" s="135"/>
      <c r="E82" s="135"/>
      <c r="F82" s="135"/>
      <c r="G82" s="135">
        <v>20</v>
      </c>
    </row>
    <row r="83" ht="17" customHeight="1" spans="1:7">
      <c r="A83" s="133">
        <v>20140</v>
      </c>
      <c r="B83" s="134" t="s">
        <v>2324</v>
      </c>
      <c r="C83" s="135">
        <f t="shared" ref="C83:G83" si="35">SUM(C84:C85)</f>
        <v>1316.0495</v>
      </c>
      <c r="D83" s="135">
        <f t="shared" si="35"/>
        <v>389.779218</v>
      </c>
      <c r="E83" s="135">
        <f t="shared" si="35"/>
        <v>42.270282</v>
      </c>
      <c r="F83" s="135">
        <f t="shared" si="35"/>
        <v>0</v>
      </c>
      <c r="G83" s="135">
        <f t="shared" si="35"/>
        <v>884</v>
      </c>
    </row>
    <row r="84" ht="17" customHeight="1" spans="1:7">
      <c r="A84" s="133">
        <v>2014001</v>
      </c>
      <c r="B84" s="134" t="s">
        <v>2269</v>
      </c>
      <c r="C84" s="135">
        <f t="shared" si="34"/>
        <v>502.0495</v>
      </c>
      <c r="D84" s="135">
        <v>389.779218</v>
      </c>
      <c r="E84" s="135">
        <v>42.270282</v>
      </c>
      <c r="F84" s="135"/>
      <c r="G84" s="135">
        <v>70</v>
      </c>
    </row>
    <row r="85" ht="17" customHeight="1" spans="1:7">
      <c r="A85" s="133">
        <v>2014099</v>
      </c>
      <c r="B85" s="134" t="s">
        <v>2325</v>
      </c>
      <c r="C85" s="135">
        <f t="shared" si="34"/>
        <v>814</v>
      </c>
      <c r="D85" s="135"/>
      <c r="E85" s="135"/>
      <c r="F85" s="135"/>
      <c r="G85" s="135">
        <v>814</v>
      </c>
    </row>
    <row r="86" ht="17" customHeight="1" spans="1:7">
      <c r="A86" s="133">
        <v>20199</v>
      </c>
      <c r="B86" s="134" t="s">
        <v>2326</v>
      </c>
      <c r="C86" s="135">
        <f t="shared" ref="C86:G86" si="36">SUM(C87)</f>
        <v>1297.92</v>
      </c>
      <c r="D86" s="135">
        <f t="shared" si="36"/>
        <v>0</v>
      </c>
      <c r="E86" s="135">
        <f t="shared" si="36"/>
        <v>0</v>
      </c>
      <c r="F86" s="135">
        <f t="shared" si="36"/>
        <v>28</v>
      </c>
      <c r="G86" s="135">
        <f t="shared" si="36"/>
        <v>1269.92</v>
      </c>
    </row>
    <row r="87" ht="17" customHeight="1" spans="1:7">
      <c r="A87" s="133">
        <v>2019999</v>
      </c>
      <c r="B87" s="136" t="s">
        <v>2327</v>
      </c>
      <c r="C87" s="135">
        <f t="shared" ref="C87:C91" si="37">D87+E87+F87+G87</f>
        <v>1297.92</v>
      </c>
      <c r="D87" s="135"/>
      <c r="E87" s="135"/>
      <c r="F87" s="135">
        <v>28</v>
      </c>
      <c r="G87" s="135">
        <v>1269.92</v>
      </c>
    </row>
    <row r="88" ht="17" customHeight="1" spans="1:7">
      <c r="A88" s="130" t="s">
        <v>2328</v>
      </c>
      <c r="B88" s="131" t="s">
        <v>2329</v>
      </c>
      <c r="C88" s="132">
        <f t="shared" ref="C88:G88" si="38">SUM(C89,C92,C95,C97,C106)</f>
        <v>31213.250569</v>
      </c>
      <c r="D88" s="132">
        <f t="shared" si="38"/>
        <v>15409.00854</v>
      </c>
      <c r="E88" s="132">
        <f t="shared" si="38"/>
        <v>2701.210029</v>
      </c>
      <c r="F88" s="132">
        <f t="shared" si="38"/>
        <v>697.5</v>
      </c>
      <c r="G88" s="132">
        <f t="shared" si="38"/>
        <v>12405.532</v>
      </c>
    </row>
    <row r="89" ht="17" customHeight="1" spans="1:7">
      <c r="A89" s="133">
        <v>20402</v>
      </c>
      <c r="B89" s="134" t="s">
        <v>2330</v>
      </c>
      <c r="C89" s="135">
        <f t="shared" ref="C89:G89" si="39">SUM(C90:C91)</f>
        <v>26570.81142</v>
      </c>
      <c r="D89" s="135">
        <f t="shared" si="39"/>
        <v>13636.188373</v>
      </c>
      <c r="E89" s="135">
        <f t="shared" si="39"/>
        <v>2459.841047</v>
      </c>
      <c r="F89" s="135">
        <f t="shared" si="39"/>
        <v>649.5</v>
      </c>
      <c r="G89" s="135">
        <f t="shared" si="39"/>
        <v>9825.282</v>
      </c>
    </row>
    <row r="90" ht="17" customHeight="1" spans="1:7">
      <c r="A90" s="133">
        <v>2040201</v>
      </c>
      <c r="B90" s="134" t="s">
        <v>2269</v>
      </c>
      <c r="C90" s="135">
        <f t="shared" si="37"/>
        <v>16096.02942</v>
      </c>
      <c r="D90" s="135">
        <v>13636.188373</v>
      </c>
      <c r="E90" s="135">
        <v>2459.841047</v>
      </c>
      <c r="F90" s="135"/>
      <c r="G90" s="135"/>
    </row>
    <row r="91" ht="17" customHeight="1" spans="1:7">
      <c r="A91" s="133">
        <v>2040299</v>
      </c>
      <c r="B91" s="134" t="s">
        <v>2331</v>
      </c>
      <c r="C91" s="135">
        <f t="shared" si="37"/>
        <v>10474.782</v>
      </c>
      <c r="D91" s="135"/>
      <c r="E91" s="135"/>
      <c r="F91" s="135">
        <v>649.5</v>
      </c>
      <c r="G91" s="135">
        <f>9845.282-20</f>
        <v>9825.282</v>
      </c>
    </row>
    <row r="92" ht="17" customHeight="1" spans="1:7">
      <c r="A92" s="133">
        <v>20404</v>
      </c>
      <c r="B92" s="134" t="s">
        <v>2332</v>
      </c>
      <c r="C92" s="135">
        <f t="shared" ref="C92:G92" si="40">SUM(C93:C94)</f>
        <v>145</v>
      </c>
      <c r="D92" s="135">
        <f t="shared" si="40"/>
        <v>0</v>
      </c>
      <c r="E92" s="135">
        <f t="shared" si="40"/>
        <v>0</v>
      </c>
      <c r="F92" s="135">
        <f t="shared" si="40"/>
        <v>0</v>
      </c>
      <c r="G92" s="135">
        <f t="shared" si="40"/>
        <v>145</v>
      </c>
    </row>
    <row r="93" ht="17" customHeight="1" spans="1:7">
      <c r="A93" s="133">
        <v>2040401</v>
      </c>
      <c r="B93" s="134" t="s">
        <v>2269</v>
      </c>
      <c r="C93" s="135">
        <f t="shared" ref="C93:C96" si="41">D93+E93+F93+G93</f>
        <v>140</v>
      </c>
      <c r="D93" s="135"/>
      <c r="E93" s="135"/>
      <c r="F93" s="135"/>
      <c r="G93" s="135">
        <v>140</v>
      </c>
    </row>
    <row r="94" ht="17" customHeight="1" spans="1:7">
      <c r="A94" s="133">
        <v>2040499</v>
      </c>
      <c r="B94" s="134" t="s">
        <v>2333</v>
      </c>
      <c r="C94" s="135">
        <f t="shared" si="41"/>
        <v>5</v>
      </c>
      <c r="D94" s="135"/>
      <c r="E94" s="135"/>
      <c r="F94" s="135"/>
      <c r="G94" s="135">
        <v>5</v>
      </c>
    </row>
    <row r="95" ht="17" customHeight="1" spans="1:7">
      <c r="A95" s="133">
        <v>20405</v>
      </c>
      <c r="B95" s="134" t="s">
        <v>2334</v>
      </c>
      <c r="C95" s="135">
        <f t="shared" ref="C95:G95" si="42">SUM(C96)</f>
        <v>308</v>
      </c>
      <c r="D95" s="135">
        <f t="shared" si="42"/>
        <v>0</v>
      </c>
      <c r="E95" s="135">
        <f t="shared" si="42"/>
        <v>0</v>
      </c>
      <c r="F95" s="135">
        <f t="shared" si="42"/>
        <v>0</v>
      </c>
      <c r="G95" s="135">
        <f t="shared" si="42"/>
        <v>308</v>
      </c>
    </row>
    <row r="96" ht="17" customHeight="1" spans="1:7">
      <c r="A96" s="133">
        <v>2040599</v>
      </c>
      <c r="B96" s="134" t="s">
        <v>2335</v>
      </c>
      <c r="C96" s="135">
        <f t="shared" si="41"/>
        <v>308</v>
      </c>
      <c r="D96" s="135"/>
      <c r="E96" s="135"/>
      <c r="F96" s="135"/>
      <c r="G96" s="135">
        <v>308</v>
      </c>
    </row>
    <row r="97" ht="17" customHeight="1" spans="1:7">
      <c r="A97" s="133">
        <v>20406</v>
      </c>
      <c r="B97" s="134" t="s">
        <v>2336</v>
      </c>
      <c r="C97" s="135">
        <f t="shared" ref="C97:G97" si="43">SUM(C98:C105)</f>
        <v>2686.039149</v>
      </c>
      <c r="D97" s="135">
        <f t="shared" si="43"/>
        <v>1772.820167</v>
      </c>
      <c r="E97" s="135">
        <f t="shared" si="43"/>
        <v>241.368982</v>
      </c>
      <c r="F97" s="135">
        <f t="shared" si="43"/>
        <v>0</v>
      </c>
      <c r="G97" s="135">
        <f t="shared" si="43"/>
        <v>671.85</v>
      </c>
    </row>
    <row r="98" ht="17" customHeight="1" spans="1:7">
      <c r="A98" s="133">
        <v>2040601</v>
      </c>
      <c r="B98" s="134" t="s">
        <v>2269</v>
      </c>
      <c r="C98" s="135">
        <f t="shared" ref="C98:C105" si="44">D98+E98+F98+G98</f>
        <v>1772.820167</v>
      </c>
      <c r="D98" s="135">
        <v>1772.820167</v>
      </c>
      <c r="E98" s="135"/>
      <c r="F98" s="135"/>
      <c r="G98" s="135"/>
    </row>
    <row r="99" ht="17" customHeight="1" spans="1:7">
      <c r="A99" s="133">
        <v>2040602</v>
      </c>
      <c r="B99" s="134" t="s">
        <v>2337</v>
      </c>
      <c r="C99" s="135">
        <f t="shared" si="44"/>
        <v>86.073982</v>
      </c>
      <c r="D99" s="135"/>
      <c r="E99" s="135">
        <v>86.073982</v>
      </c>
      <c r="F99" s="135"/>
      <c r="G99" s="135"/>
    </row>
    <row r="100" ht="17" customHeight="1" spans="1:7">
      <c r="A100" s="133">
        <v>2040603</v>
      </c>
      <c r="B100" s="134" t="s">
        <v>2338</v>
      </c>
      <c r="C100" s="135">
        <f t="shared" si="44"/>
        <v>83.295</v>
      </c>
      <c r="D100" s="135"/>
      <c r="E100" s="135">
        <v>83.295</v>
      </c>
      <c r="F100" s="135"/>
      <c r="G100" s="135"/>
    </row>
    <row r="101" ht="17" customHeight="1" spans="1:7">
      <c r="A101" s="133">
        <v>2040605</v>
      </c>
      <c r="B101" s="134" t="s">
        <v>2339</v>
      </c>
      <c r="C101" s="135">
        <f t="shared" si="44"/>
        <v>388</v>
      </c>
      <c r="D101" s="135"/>
      <c r="E101" s="135"/>
      <c r="F101" s="135"/>
      <c r="G101" s="135">
        <v>388</v>
      </c>
    </row>
    <row r="102" ht="17" customHeight="1" spans="1:7">
      <c r="A102" s="133">
        <v>2040607</v>
      </c>
      <c r="B102" s="134" t="s">
        <v>2340</v>
      </c>
      <c r="C102" s="135">
        <f t="shared" si="44"/>
        <v>179.62</v>
      </c>
      <c r="D102" s="135"/>
      <c r="E102" s="135">
        <v>72</v>
      </c>
      <c r="F102" s="135"/>
      <c r="G102" s="135">
        <v>107.62</v>
      </c>
    </row>
    <row r="103" ht="17" customHeight="1" spans="1:7">
      <c r="A103" s="133">
        <v>2040610</v>
      </c>
      <c r="B103" s="134" t="s">
        <v>2341</v>
      </c>
      <c r="C103" s="135">
        <f t="shared" si="44"/>
        <v>56.73</v>
      </c>
      <c r="D103" s="135"/>
      <c r="E103" s="135"/>
      <c r="F103" s="135"/>
      <c r="G103" s="135">
        <v>56.73</v>
      </c>
    </row>
    <row r="104" ht="17" customHeight="1" spans="1:7">
      <c r="A104" s="133">
        <v>2040612</v>
      </c>
      <c r="B104" s="134" t="s">
        <v>2342</v>
      </c>
      <c r="C104" s="135">
        <f t="shared" si="44"/>
        <v>20</v>
      </c>
      <c r="D104" s="135"/>
      <c r="E104" s="135"/>
      <c r="F104" s="135"/>
      <c r="G104" s="135">
        <v>20</v>
      </c>
    </row>
    <row r="105" ht="17" customHeight="1" spans="1:7">
      <c r="A105" s="133">
        <v>2040699</v>
      </c>
      <c r="B105" s="134" t="s">
        <v>2343</v>
      </c>
      <c r="C105" s="135">
        <f t="shared" si="44"/>
        <v>99.5</v>
      </c>
      <c r="D105" s="135"/>
      <c r="E105" s="135"/>
      <c r="F105" s="135"/>
      <c r="G105" s="135">
        <f>222.5-123</f>
        <v>99.5</v>
      </c>
    </row>
    <row r="106" ht="17" customHeight="1" spans="1:7">
      <c r="A106" s="133">
        <v>20499</v>
      </c>
      <c r="B106" s="134" t="s">
        <v>2344</v>
      </c>
      <c r="C106" s="135">
        <f t="shared" ref="C106:G106" si="45">SUM(C107)</f>
        <v>1503.4</v>
      </c>
      <c r="D106" s="135">
        <f t="shared" si="45"/>
        <v>0</v>
      </c>
      <c r="E106" s="135">
        <f t="shared" si="45"/>
        <v>0</v>
      </c>
      <c r="F106" s="135">
        <f t="shared" si="45"/>
        <v>48</v>
      </c>
      <c r="G106" s="135">
        <f t="shared" si="45"/>
        <v>1455.4</v>
      </c>
    </row>
    <row r="107" ht="17" customHeight="1" spans="1:7">
      <c r="A107" s="133">
        <v>2049999</v>
      </c>
      <c r="B107" s="136" t="s">
        <v>2345</v>
      </c>
      <c r="C107" s="135">
        <f t="shared" ref="C107:C114" si="46">D107+E107+F107+G107</f>
        <v>1503.4</v>
      </c>
      <c r="D107" s="135"/>
      <c r="E107" s="135"/>
      <c r="F107" s="135">
        <v>48</v>
      </c>
      <c r="G107" s="135">
        <v>1455.4</v>
      </c>
    </row>
    <row r="108" ht="17" customHeight="1" spans="1:7">
      <c r="A108" s="130" t="s">
        <v>2346</v>
      </c>
      <c r="B108" s="131" t="s">
        <v>1944</v>
      </c>
      <c r="C108" s="132">
        <f t="shared" ref="C108:G108" si="47">SUM(C109,C115,C117,C119,C121)</f>
        <v>155819.679044</v>
      </c>
      <c r="D108" s="132">
        <f t="shared" si="47"/>
        <v>119324.428302</v>
      </c>
      <c r="E108" s="132">
        <f t="shared" si="47"/>
        <v>12912.822742</v>
      </c>
      <c r="F108" s="132">
        <f t="shared" si="47"/>
        <v>0</v>
      </c>
      <c r="G108" s="132">
        <f t="shared" si="47"/>
        <v>23582.428</v>
      </c>
    </row>
    <row r="109" ht="17" customHeight="1" spans="1:7">
      <c r="A109" s="133">
        <v>20502</v>
      </c>
      <c r="B109" s="134" t="s">
        <v>2347</v>
      </c>
      <c r="C109" s="135">
        <f t="shared" ref="C109:G109" si="48">SUM(C110:C114)</f>
        <v>147023.808991</v>
      </c>
      <c r="D109" s="135">
        <f t="shared" si="48"/>
        <v>116251.993092</v>
      </c>
      <c r="E109" s="135">
        <f t="shared" si="48"/>
        <v>12442.165899</v>
      </c>
      <c r="F109" s="135">
        <f t="shared" si="48"/>
        <v>0</v>
      </c>
      <c r="G109" s="135">
        <f t="shared" si="48"/>
        <v>18329.65</v>
      </c>
    </row>
    <row r="110" ht="17" customHeight="1" spans="1:7">
      <c r="A110" s="133">
        <v>2050201</v>
      </c>
      <c r="B110" s="134" t="s">
        <v>2348</v>
      </c>
      <c r="C110" s="135">
        <f t="shared" si="46"/>
        <v>7067.317746</v>
      </c>
      <c r="D110" s="135">
        <v>2955.364059</v>
      </c>
      <c r="E110" s="135">
        <v>630.953687</v>
      </c>
      <c r="F110" s="135"/>
      <c r="G110" s="135">
        <v>3481</v>
      </c>
    </row>
    <row r="111" ht="17" customHeight="1" spans="1:7">
      <c r="A111" s="133">
        <v>2050202</v>
      </c>
      <c r="B111" s="134" t="s">
        <v>2349</v>
      </c>
      <c r="C111" s="135">
        <f t="shared" si="46"/>
        <v>27604.831341</v>
      </c>
      <c r="D111" s="135">
        <v>21520.464546</v>
      </c>
      <c r="E111" s="135">
        <v>2534.366795</v>
      </c>
      <c r="F111" s="135"/>
      <c r="G111" s="135">
        <v>3550</v>
      </c>
    </row>
    <row r="112" ht="17" customHeight="1" spans="1:7">
      <c r="A112" s="133">
        <v>2050203</v>
      </c>
      <c r="B112" s="134" t="s">
        <v>2350</v>
      </c>
      <c r="C112" s="135">
        <f t="shared" si="46"/>
        <v>84649.509459</v>
      </c>
      <c r="D112" s="135">
        <v>74510.813032</v>
      </c>
      <c r="E112" s="135">
        <v>7325.046427</v>
      </c>
      <c r="F112" s="135"/>
      <c r="G112" s="135">
        <v>2813.65</v>
      </c>
    </row>
    <row r="113" ht="17" customHeight="1" spans="1:7">
      <c r="A113" s="133">
        <v>2050204</v>
      </c>
      <c r="B113" s="134" t="s">
        <v>2351</v>
      </c>
      <c r="C113" s="135">
        <f t="shared" si="46"/>
        <v>23891.350445</v>
      </c>
      <c r="D113" s="135">
        <v>17265.351455</v>
      </c>
      <c r="E113" s="135">
        <v>1951.79899</v>
      </c>
      <c r="F113" s="135"/>
      <c r="G113" s="135">
        <v>4674.2</v>
      </c>
    </row>
    <row r="114" ht="17" customHeight="1" spans="1:7">
      <c r="A114" s="133">
        <v>2050299</v>
      </c>
      <c r="B114" s="134" t="s">
        <v>2352</v>
      </c>
      <c r="C114" s="135">
        <f t="shared" si="46"/>
        <v>3810.8</v>
      </c>
      <c r="D114" s="135"/>
      <c r="E114" s="135"/>
      <c r="F114" s="135"/>
      <c r="G114" s="135">
        <v>3810.8</v>
      </c>
    </row>
    <row r="115" ht="17" customHeight="1" spans="1:7">
      <c r="A115" s="133">
        <v>20503</v>
      </c>
      <c r="B115" s="134" t="s">
        <v>2353</v>
      </c>
      <c r="C115" s="135">
        <f t="shared" ref="C115:G115" si="49">SUM(C116)</f>
        <v>657.051481</v>
      </c>
      <c r="D115" s="135">
        <f t="shared" si="49"/>
        <v>450.680142</v>
      </c>
      <c r="E115" s="135">
        <f t="shared" si="49"/>
        <v>206.371339</v>
      </c>
      <c r="F115" s="135">
        <f t="shared" si="49"/>
        <v>0</v>
      </c>
      <c r="G115" s="135">
        <f t="shared" si="49"/>
        <v>0</v>
      </c>
    </row>
    <row r="116" ht="17" customHeight="1" spans="1:7">
      <c r="A116" s="133">
        <v>2050302</v>
      </c>
      <c r="B116" s="134" t="s">
        <v>2354</v>
      </c>
      <c r="C116" s="135">
        <f t="shared" ref="C116:C120" si="50">D116+E116+F116+G116</f>
        <v>657.051481</v>
      </c>
      <c r="D116" s="135">
        <v>450.680142</v>
      </c>
      <c r="E116" s="135">
        <v>206.371339</v>
      </c>
      <c r="F116" s="135"/>
      <c r="G116" s="135">
        <f>106-106</f>
        <v>0</v>
      </c>
    </row>
    <row r="117" ht="17" customHeight="1" spans="1:7">
      <c r="A117" s="133">
        <v>20507</v>
      </c>
      <c r="B117" s="134" t="s">
        <v>2355</v>
      </c>
      <c r="C117" s="135">
        <f t="shared" ref="C117:G117" si="51">SUM(C118)</f>
        <v>771.302463</v>
      </c>
      <c r="D117" s="135">
        <f t="shared" si="51"/>
        <v>600.72021</v>
      </c>
      <c r="E117" s="135">
        <f t="shared" si="51"/>
        <v>108.784253</v>
      </c>
      <c r="F117" s="135">
        <f t="shared" si="51"/>
        <v>0</v>
      </c>
      <c r="G117" s="135">
        <f t="shared" si="51"/>
        <v>61.798</v>
      </c>
    </row>
    <row r="118" ht="17" customHeight="1" spans="1:7">
      <c r="A118" s="133">
        <v>2050701</v>
      </c>
      <c r="B118" s="134" t="s">
        <v>2356</v>
      </c>
      <c r="C118" s="135">
        <f t="shared" si="50"/>
        <v>771.302463</v>
      </c>
      <c r="D118" s="135">
        <v>600.72021</v>
      </c>
      <c r="E118" s="135">
        <v>108.784253</v>
      </c>
      <c r="F118" s="135"/>
      <c r="G118" s="135">
        <v>61.798</v>
      </c>
    </row>
    <row r="119" ht="17" customHeight="1" spans="1:7">
      <c r="A119" s="133">
        <v>20508</v>
      </c>
      <c r="B119" s="134" t="s">
        <v>2357</v>
      </c>
      <c r="C119" s="135">
        <f t="shared" ref="C119:G119" si="52">SUM(C120)</f>
        <v>585.37102</v>
      </c>
      <c r="D119" s="135">
        <f t="shared" si="52"/>
        <v>417.27663</v>
      </c>
      <c r="E119" s="135">
        <f t="shared" si="52"/>
        <v>48.09439</v>
      </c>
      <c r="F119" s="135">
        <f t="shared" si="52"/>
        <v>0</v>
      </c>
      <c r="G119" s="135">
        <f t="shared" si="52"/>
        <v>120</v>
      </c>
    </row>
    <row r="120" ht="17" customHeight="1" spans="1:7">
      <c r="A120" s="133">
        <v>2050802</v>
      </c>
      <c r="B120" s="134" t="s">
        <v>2358</v>
      </c>
      <c r="C120" s="135">
        <f t="shared" si="50"/>
        <v>585.37102</v>
      </c>
      <c r="D120" s="135">
        <v>417.27663</v>
      </c>
      <c r="E120" s="135">
        <v>48.09439</v>
      </c>
      <c r="F120" s="135"/>
      <c r="G120" s="135">
        <v>120</v>
      </c>
    </row>
    <row r="121" ht="17" customHeight="1" spans="1:7">
      <c r="A121" s="133">
        <v>20599</v>
      </c>
      <c r="B121" s="134" t="s">
        <v>2359</v>
      </c>
      <c r="C121" s="135">
        <f t="shared" ref="C121:G121" si="53">SUM(C122)</f>
        <v>6782.145089</v>
      </c>
      <c r="D121" s="135">
        <f t="shared" si="53"/>
        <v>1603.758228</v>
      </c>
      <c r="E121" s="135">
        <f t="shared" si="53"/>
        <v>107.406861</v>
      </c>
      <c r="F121" s="135">
        <f t="shared" si="53"/>
        <v>0</v>
      </c>
      <c r="G121" s="135">
        <f t="shared" si="53"/>
        <v>5070.98</v>
      </c>
    </row>
    <row r="122" ht="17" customHeight="1" spans="1:7">
      <c r="A122" s="133">
        <v>2059999</v>
      </c>
      <c r="B122" s="136" t="s">
        <v>2360</v>
      </c>
      <c r="C122" s="135">
        <f t="shared" ref="C122:C128" si="54">D122+E122+F122+G122</f>
        <v>6782.145089</v>
      </c>
      <c r="D122" s="135">
        <v>1603.758228</v>
      </c>
      <c r="E122" s="135">
        <v>107.406861</v>
      </c>
      <c r="F122" s="135"/>
      <c r="G122" s="135">
        <v>5070.98</v>
      </c>
    </row>
    <row r="123" ht="17" customHeight="1" spans="1:7">
      <c r="A123" s="130" t="s">
        <v>2361</v>
      </c>
      <c r="B123" s="131" t="s">
        <v>2362</v>
      </c>
      <c r="C123" s="132">
        <f t="shared" ref="C123:G123" si="55">SUM(C124,C126,C129,C131,C134,C136)</f>
        <v>19716.633114</v>
      </c>
      <c r="D123" s="132">
        <f t="shared" si="55"/>
        <v>617.743488</v>
      </c>
      <c r="E123" s="132">
        <f t="shared" si="55"/>
        <v>73.889626</v>
      </c>
      <c r="F123" s="132">
        <f t="shared" si="55"/>
        <v>0</v>
      </c>
      <c r="G123" s="132">
        <f t="shared" si="55"/>
        <v>19025</v>
      </c>
    </row>
    <row r="124" ht="17" customHeight="1" spans="1:7">
      <c r="A124" s="133">
        <v>20601</v>
      </c>
      <c r="B124" s="134" t="s">
        <v>2363</v>
      </c>
      <c r="C124" s="135">
        <f t="shared" ref="C124:G124" si="56">SUM(C125)</f>
        <v>10000</v>
      </c>
      <c r="D124" s="135">
        <f t="shared" si="56"/>
        <v>0</v>
      </c>
      <c r="E124" s="135">
        <f t="shared" si="56"/>
        <v>0</v>
      </c>
      <c r="F124" s="135">
        <f t="shared" si="56"/>
        <v>0</v>
      </c>
      <c r="G124" s="135">
        <f t="shared" si="56"/>
        <v>10000</v>
      </c>
    </row>
    <row r="125" ht="17" customHeight="1" spans="1:7">
      <c r="A125" s="133">
        <v>2060199</v>
      </c>
      <c r="B125" s="134" t="s">
        <v>2364</v>
      </c>
      <c r="C125" s="135">
        <f t="shared" si="54"/>
        <v>10000</v>
      </c>
      <c r="D125" s="135"/>
      <c r="E125" s="135"/>
      <c r="F125" s="135"/>
      <c r="G125" s="135">
        <f>10020-20</f>
        <v>10000</v>
      </c>
    </row>
    <row r="126" ht="17" customHeight="1" spans="1:7">
      <c r="A126" s="133">
        <v>20604</v>
      </c>
      <c r="B126" s="134" t="s">
        <v>2365</v>
      </c>
      <c r="C126" s="135">
        <f t="shared" ref="C126:G126" si="57">SUM(C127:C128)</f>
        <v>1183.315409</v>
      </c>
      <c r="D126" s="135">
        <f t="shared" si="57"/>
        <v>341.210879</v>
      </c>
      <c r="E126" s="135">
        <f t="shared" si="57"/>
        <v>42.10453</v>
      </c>
      <c r="F126" s="135">
        <f t="shared" si="57"/>
        <v>0</v>
      </c>
      <c r="G126" s="135">
        <f t="shared" si="57"/>
        <v>800</v>
      </c>
    </row>
    <row r="127" ht="17" customHeight="1" spans="1:7">
      <c r="A127" s="133">
        <v>2060401</v>
      </c>
      <c r="B127" s="134" t="s">
        <v>2366</v>
      </c>
      <c r="C127" s="135">
        <f t="shared" si="54"/>
        <v>383.315409</v>
      </c>
      <c r="D127" s="135">
        <v>341.210879</v>
      </c>
      <c r="E127" s="135">
        <v>42.10453</v>
      </c>
      <c r="F127" s="135"/>
      <c r="G127" s="135"/>
    </row>
    <row r="128" ht="17" customHeight="1" spans="1:7">
      <c r="A128" s="133">
        <v>2060404</v>
      </c>
      <c r="B128" s="134" t="s">
        <v>2367</v>
      </c>
      <c r="C128" s="135">
        <f t="shared" si="54"/>
        <v>800</v>
      </c>
      <c r="D128" s="135"/>
      <c r="E128" s="135"/>
      <c r="F128" s="135"/>
      <c r="G128" s="135">
        <v>800</v>
      </c>
    </row>
    <row r="129" ht="17" customHeight="1" spans="1:7">
      <c r="A129" s="133">
        <v>20605</v>
      </c>
      <c r="B129" s="134" t="s">
        <v>2368</v>
      </c>
      <c r="C129" s="135">
        <f t="shared" ref="C129:G129" si="58">SUM(C130)</f>
        <v>890</v>
      </c>
      <c r="D129" s="135">
        <f t="shared" si="58"/>
        <v>0</v>
      </c>
      <c r="E129" s="135">
        <f t="shared" si="58"/>
        <v>0</v>
      </c>
      <c r="F129" s="135">
        <f t="shared" si="58"/>
        <v>0</v>
      </c>
      <c r="G129" s="135">
        <f t="shared" si="58"/>
        <v>890</v>
      </c>
    </row>
    <row r="130" ht="17" customHeight="1" spans="1:7">
      <c r="A130" s="133">
        <v>2060599</v>
      </c>
      <c r="B130" s="134" t="s">
        <v>2369</v>
      </c>
      <c r="C130" s="135">
        <f t="shared" ref="C130:C133" si="59">D130+E130+F130+G130</f>
        <v>890</v>
      </c>
      <c r="D130" s="135"/>
      <c r="E130" s="135"/>
      <c r="F130" s="135"/>
      <c r="G130" s="135">
        <v>890</v>
      </c>
    </row>
    <row r="131" ht="17" customHeight="1" spans="1:7">
      <c r="A131" s="133">
        <v>20607</v>
      </c>
      <c r="B131" s="134" t="s">
        <v>2370</v>
      </c>
      <c r="C131" s="135">
        <f t="shared" ref="C131:G131" si="60">SUM(C132:C133)</f>
        <v>385.317705</v>
      </c>
      <c r="D131" s="135">
        <f t="shared" si="60"/>
        <v>276.532609</v>
      </c>
      <c r="E131" s="135">
        <f t="shared" si="60"/>
        <v>31.785096</v>
      </c>
      <c r="F131" s="135">
        <f t="shared" si="60"/>
        <v>0</v>
      </c>
      <c r="G131" s="135">
        <f t="shared" si="60"/>
        <v>77</v>
      </c>
    </row>
    <row r="132" ht="17" customHeight="1" spans="1:7">
      <c r="A132" s="133">
        <v>2060701</v>
      </c>
      <c r="B132" s="134" t="s">
        <v>2366</v>
      </c>
      <c r="C132" s="135">
        <f t="shared" si="59"/>
        <v>308.317705</v>
      </c>
      <c r="D132" s="135">
        <v>276.532609</v>
      </c>
      <c r="E132" s="135">
        <v>31.785096</v>
      </c>
      <c r="F132" s="135"/>
      <c r="G132" s="135"/>
    </row>
    <row r="133" ht="17" customHeight="1" spans="1:7">
      <c r="A133" s="133">
        <v>2060702</v>
      </c>
      <c r="B133" s="134" t="s">
        <v>2371</v>
      </c>
      <c r="C133" s="135">
        <f t="shared" si="59"/>
        <v>77</v>
      </c>
      <c r="D133" s="135"/>
      <c r="E133" s="135"/>
      <c r="F133" s="135"/>
      <c r="G133" s="135">
        <v>77</v>
      </c>
    </row>
    <row r="134" ht="17" customHeight="1" spans="1:7">
      <c r="A134" s="133">
        <v>20608</v>
      </c>
      <c r="B134" s="134" t="s">
        <v>2372</v>
      </c>
      <c r="C134" s="135">
        <f t="shared" ref="C134:G134" si="61">SUM(C135)</f>
        <v>2000</v>
      </c>
      <c r="D134" s="135">
        <f t="shared" si="61"/>
        <v>0</v>
      </c>
      <c r="E134" s="135">
        <f t="shared" si="61"/>
        <v>0</v>
      </c>
      <c r="F134" s="135">
        <f t="shared" si="61"/>
        <v>0</v>
      </c>
      <c r="G134" s="135">
        <f t="shared" si="61"/>
        <v>2000</v>
      </c>
    </row>
    <row r="135" ht="17" customHeight="1" spans="1:7">
      <c r="A135" s="133">
        <v>2060899</v>
      </c>
      <c r="B135" s="134" t="s">
        <v>2373</v>
      </c>
      <c r="C135" s="135">
        <f t="shared" ref="C135:C148" si="62">D135+E135+F135+G135</f>
        <v>2000</v>
      </c>
      <c r="D135" s="135"/>
      <c r="E135" s="135"/>
      <c r="F135" s="135"/>
      <c r="G135" s="135">
        <v>2000</v>
      </c>
    </row>
    <row r="136" ht="17" customHeight="1" spans="1:7">
      <c r="A136" s="133">
        <v>20699</v>
      </c>
      <c r="B136" s="134" t="s">
        <v>2374</v>
      </c>
      <c r="C136" s="135">
        <f t="shared" ref="C136:G136" si="63">SUM(C137)</f>
        <v>5258</v>
      </c>
      <c r="D136" s="135">
        <f t="shared" si="63"/>
        <v>0</v>
      </c>
      <c r="E136" s="135">
        <f t="shared" si="63"/>
        <v>0</v>
      </c>
      <c r="F136" s="135">
        <f t="shared" si="63"/>
        <v>0</v>
      </c>
      <c r="G136" s="135">
        <f t="shared" si="63"/>
        <v>5258</v>
      </c>
    </row>
    <row r="137" ht="17" customHeight="1" spans="1:7">
      <c r="A137" s="133">
        <v>2069999</v>
      </c>
      <c r="B137" s="136" t="s">
        <v>2375</v>
      </c>
      <c r="C137" s="135">
        <f t="shared" si="62"/>
        <v>5258</v>
      </c>
      <c r="D137" s="135"/>
      <c r="E137" s="135"/>
      <c r="F137" s="135"/>
      <c r="G137" s="135">
        <v>5258</v>
      </c>
    </row>
    <row r="138" ht="17" customHeight="1" spans="1:7">
      <c r="A138" s="130" t="s">
        <v>2376</v>
      </c>
      <c r="B138" s="131" t="s">
        <v>2377</v>
      </c>
      <c r="C138" s="132">
        <f t="shared" ref="C138:G138" si="64">SUM(C139,C147,C149,C152)</f>
        <v>11196.657965</v>
      </c>
      <c r="D138" s="132">
        <f t="shared" si="64"/>
        <v>4752.511399</v>
      </c>
      <c r="E138" s="132">
        <f t="shared" si="64"/>
        <v>441.770399</v>
      </c>
      <c r="F138" s="132">
        <f t="shared" si="64"/>
        <v>133</v>
      </c>
      <c r="G138" s="132">
        <f t="shared" si="64"/>
        <v>5869.376167</v>
      </c>
    </row>
    <row r="139" ht="17" customHeight="1" spans="1:7">
      <c r="A139" s="133">
        <v>20701</v>
      </c>
      <c r="B139" s="134" t="s">
        <v>2378</v>
      </c>
      <c r="C139" s="135">
        <f t="shared" ref="C139:G139" si="65">SUM(C140:C146)</f>
        <v>4155.898049</v>
      </c>
      <c r="D139" s="135">
        <f t="shared" si="65"/>
        <v>2561.502547</v>
      </c>
      <c r="E139" s="135">
        <f t="shared" si="65"/>
        <v>189.995502</v>
      </c>
      <c r="F139" s="135">
        <f t="shared" si="65"/>
        <v>0</v>
      </c>
      <c r="G139" s="135">
        <f t="shared" si="65"/>
        <v>1404.4</v>
      </c>
    </row>
    <row r="140" ht="17" customHeight="1" spans="1:7">
      <c r="A140" s="133">
        <v>2070101</v>
      </c>
      <c r="B140" s="134" t="s">
        <v>2269</v>
      </c>
      <c r="C140" s="135">
        <f t="shared" si="62"/>
        <v>521.057169</v>
      </c>
      <c r="D140" s="135">
        <v>465.963427</v>
      </c>
      <c r="E140" s="135">
        <v>55.093742</v>
      </c>
      <c r="F140" s="135"/>
      <c r="G140" s="135"/>
    </row>
    <row r="141" ht="17" customHeight="1" spans="1:7">
      <c r="A141" s="133">
        <v>2070104</v>
      </c>
      <c r="B141" s="134" t="s">
        <v>2379</v>
      </c>
      <c r="C141" s="135">
        <f t="shared" si="62"/>
        <v>390.393842</v>
      </c>
      <c r="D141" s="135">
        <v>319.692918</v>
      </c>
      <c r="E141" s="135">
        <v>21.700924</v>
      </c>
      <c r="F141" s="135"/>
      <c r="G141" s="135">
        <v>49</v>
      </c>
    </row>
    <row r="142" ht="17" customHeight="1" spans="1:7">
      <c r="A142" s="133">
        <v>2070106</v>
      </c>
      <c r="B142" s="134" t="s">
        <v>2380</v>
      </c>
      <c r="C142" s="135">
        <f t="shared" si="62"/>
        <v>1043.509753</v>
      </c>
      <c r="D142" s="135">
        <v>778.592239</v>
      </c>
      <c r="E142" s="135">
        <v>41.417514</v>
      </c>
      <c r="F142" s="135"/>
      <c r="G142" s="135">
        <v>223.5</v>
      </c>
    </row>
    <row r="143" ht="17" customHeight="1" spans="1:7">
      <c r="A143" s="133">
        <v>2070108</v>
      </c>
      <c r="B143" s="134" t="s">
        <v>2381</v>
      </c>
      <c r="C143" s="135">
        <f t="shared" si="62"/>
        <v>162.5</v>
      </c>
      <c r="D143" s="135"/>
      <c r="E143" s="135"/>
      <c r="F143" s="135"/>
      <c r="G143" s="135">
        <v>162.5</v>
      </c>
    </row>
    <row r="144" ht="17" customHeight="1" spans="1:7">
      <c r="A144" s="133">
        <v>2070109</v>
      </c>
      <c r="B144" s="134" t="s">
        <v>2382</v>
      </c>
      <c r="C144" s="135">
        <f t="shared" si="62"/>
        <v>686.199442</v>
      </c>
      <c r="D144" s="135">
        <v>564.58118</v>
      </c>
      <c r="E144" s="135">
        <v>33.618262</v>
      </c>
      <c r="F144" s="135"/>
      <c r="G144" s="135">
        <v>88</v>
      </c>
    </row>
    <row r="145" ht="17" customHeight="1" spans="1:7">
      <c r="A145" s="133">
        <v>2070112</v>
      </c>
      <c r="B145" s="134" t="s">
        <v>2383</v>
      </c>
      <c r="C145" s="135">
        <f t="shared" si="62"/>
        <v>388.358238</v>
      </c>
      <c r="D145" s="135">
        <v>329.715954</v>
      </c>
      <c r="E145" s="135">
        <v>29.642284</v>
      </c>
      <c r="F145" s="135"/>
      <c r="G145" s="135">
        <v>29</v>
      </c>
    </row>
    <row r="146" ht="17" customHeight="1" spans="1:7">
      <c r="A146" s="133">
        <v>2070199</v>
      </c>
      <c r="B146" s="134" t="s">
        <v>2384</v>
      </c>
      <c r="C146" s="135">
        <f t="shared" si="62"/>
        <v>963.879605</v>
      </c>
      <c r="D146" s="135">
        <v>102.956829</v>
      </c>
      <c r="E146" s="135">
        <v>8.522776</v>
      </c>
      <c r="F146" s="135"/>
      <c r="G146" s="135">
        <f>1435.4-583</f>
        <v>852.4</v>
      </c>
    </row>
    <row r="147" ht="17" customHeight="1" spans="1:7">
      <c r="A147" s="133">
        <v>20702</v>
      </c>
      <c r="B147" s="134" t="s">
        <v>2385</v>
      </c>
      <c r="C147" s="135">
        <f t="shared" si="62"/>
        <v>3701.160917</v>
      </c>
      <c r="D147" s="137">
        <f t="shared" ref="D147:G147" si="66">SUM(D148)</f>
        <v>435.206853</v>
      </c>
      <c r="E147" s="137">
        <f t="shared" si="66"/>
        <v>52.654064</v>
      </c>
      <c r="F147" s="137">
        <f t="shared" si="66"/>
        <v>0</v>
      </c>
      <c r="G147" s="137">
        <f t="shared" si="66"/>
        <v>3213.3</v>
      </c>
    </row>
    <row r="148" ht="17" customHeight="1" spans="1:7">
      <c r="A148" s="133">
        <v>2070204</v>
      </c>
      <c r="B148" s="134" t="s">
        <v>2386</v>
      </c>
      <c r="C148" s="135">
        <f t="shared" si="62"/>
        <v>3701.160917</v>
      </c>
      <c r="D148" s="135">
        <v>435.206853</v>
      </c>
      <c r="E148" s="135">
        <v>52.654064</v>
      </c>
      <c r="F148" s="135"/>
      <c r="G148" s="135">
        <f>4057.3-844</f>
        <v>3213.3</v>
      </c>
    </row>
    <row r="149" ht="17" customHeight="1" spans="1:7">
      <c r="A149" s="133">
        <v>20703</v>
      </c>
      <c r="B149" s="134" t="s">
        <v>2387</v>
      </c>
      <c r="C149" s="135">
        <f t="shared" ref="C149:G149" si="67">SUM(C150:C151)</f>
        <v>191.67911</v>
      </c>
      <c r="D149" s="135">
        <f t="shared" si="67"/>
        <v>128.925239</v>
      </c>
      <c r="E149" s="135">
        <f t="shared" si="67"/>
        <v>7.753871</v>
      </c>
      <c r="F149" s="135">
        <f t="shared" si="67"/>
        <v>0</v>
      </c>
      <c r="G149" s="135">
        <f t="shared" si="67"/>
        <v>55</v>
      </c>
    </row>
    <row r="150" ht="17" customHeight="1" spans="1:7">
      <c r="A150" s="133">
        <v>2070308</v>
      </c>
      <c r="B150" s="134" t="s">
        <v>2388</v>
      </c>
      <c r="C150" s="135">
        <f t="shared" ref="C150:C153" si="68">D150+E150+F150+G150</f>
        <v>141.67911</v>
      </c>
      <c r="D150" s="135">
        <v>128.925239</v>
      </c>
      <c r="E150" s="135">
        <v>7.753871</v>
      </c>
      <c r="F150" s="135"/>
      <c r="G150" s="135">
        <v>5</v>
      </c>
    </row>
    <row r="151" ht="17" customHeight="1" spans="1:7">
      <c r="A151" s="133">
        <v>2070399</v>
      </c>
      <c r="B151" s="134" t="s">
        <v>2389</v>
      </c>
      <c r="C151" s="135">
        <f t="shared" si="68"/>
        <v>50</v>
      </c>
      <c r="D151" s="135"/>
      <c r="E151" s="135"/>
      <c r="F151" s="135"/>
      <c r="G151" s="135">
        <v>50</v>
      </c>
    </row>
    <row r="152" ht="17" customHeight="1" spans="1:7">
      <c r="A152" s="133">
        <v>20708</v>
      </c>
      <c r="B152" s="134" t="s">
        <v>2390</v>
      </c>
      <c r="C152" s="135">
        <f t="shared" ref="C152:G152" si="69">SUM(C153)</f>
        <v>3147.919889</v>
      </c>
      <c r="D152" s="135">
        <f t="shared" si="69"/>
        <v>1626.87676</v>
      </c>
      <c r="E152" s="135">
        <f t="shared" si="69"/>
        <v>191.366962</v>
      </c>
      <c r="F152" s="135">
        <f t="shared" si="69"/>
        <v>133</v>
      </c>
      <c r="G152" s="135">
        <f t="shared" si="69"/>
        <v>1196.676167</v>
      </c>
    </row>
    <row r="153" ht="17" customHeight="1" spans="1:7">
      <c r="A153" s="133">
        <v>2070899</v>
      </c>
      <c r="B153" s="136" t="s">
        <v>2391</v>
      </c>
      <c r="C153" s="135">
        <f t="shared" si="68"/>
        <v>3147.919889</v>
      </c>
      <c r="D153" s="135">
        <v>1626.87676</v>
      </c>
      <c r="E153" s="135">
        <v>191.366962</v>
      </c>
      <c r="F153" s="135">
        <v>133</v>
      </c>
      <c r="G153" s="135">
        <v>1196.676167</v>
      </c>
    </row>
    <row r="154" ht="17" customHeight="1" spans="1:7">
      <c r="A154" s="130" t="s">
        <v>2392</v>
      </c>
      <c r="B154" s="131" t="s">
        <v>2393</v>
      </c>
      <c r="C154" s="132">
        <f t="shared" ref="C154:G154" si="70">SUM(C155,C162,C168,C171,C173,C179,C184,C189,C194,C197,C200,C202,C204,C206,C208,C213,C215)</f>
        <v>86186.063978</v>
      </c>
      <c r="D154" s="132">
        <f t="shared" si="70"/>
        <v>7178.434994</v>
      </c>
      <c r="E154" s="132">
        <f t="shared" si="70"/>
        <v>661.91878</v>
      </c>
      <c r="F154" s="132">
        <f t="shared" si="70"/>
        <v>180</v>
      </c>
      <c r="G154" s="132">
        <f t="shared" si="70"/>
        <v>78165.710204</v>
      </c>
    </row>
    <row r="155" ht="17" customHeight="1" spans="1:7">
      <c r="A155" s="133">
        <v>20801</v>
      </c>
      <c r="B155" s="134" t="s">
        <v>2394</v>
      </c>
      <c r="C155" s="135">
        <f t="shared" ref="C155:G155" si="71">SUM(C156:C161)</f>
        <v>10100.396968</v>
      </c>
      <c r="D155" s="135">
        <f t="shared" si="71"/>
        <v>4134.793743</v>
      </c>
      <c r="E155" s="135">
        <f t="shared" si="71"/>
        <v>376.795825</v>
      </c>
      <c r="F155" s="135">
        <f t="shared" si="71"/>
        <v>0</v>
      </c>
      <c r="G155" s="135">
        <f t="shared" si="71"/>
        <v>5588.8074</v>
      </c>
    </row>
    <row r="156" ht="17" customHeight="1" spans="1:7">
      <c r="A156" s="133">
        <v>2080101</v>
      </c>
      <c r="B156" s="134" t="s">
        <v>2269</v>
      </c>
      <c r="C156" s="135">
        <f t="shared" ref="C156:C161" si="72">D156+E156+F156+G156</f>
        <v>1267.606294</v>
      </c>
      <c r="D156" s="135">
        <v>1151.500574</v>
      </c>
      <c r="E156" s="135">
        <v>116.10572</v>
      </c>
      <c r="F156" s="135"/>
      <c r="G156" s="135"/>
    </row>
    <row r="157" ht="17" customHeight="1" spans="1:7">
      <c r="A157" s="133">
        <v>2080102</v>
      </c>
      <c r="B157" s="134" t="s">
        <v>2337</v>
      </c>
      <c r="C157" s="135">
        <f t="shared" si="72"/>
        <v>808</v>
      </c>
      <c r="D157" s="135"/>
      <c r="E157" s="135"/>
      <c r="F157" s="135"/>
      <c r="G157" s="135">
        <v>808</v>
      </c>
    </row>
    <row r="158" ht="17" customHeight="1" spans="1:7">
      <c r="A158" s="133">
        <v>2080106</v>
      </c>
      <c r="B158" s="134" t="s">
        <v>2395</v>
      </c>
      <c r="C158" s="135">
        <f t="shared" si="72"/>
        <v>2716.769533</v>
      </c>
      <c r="D158" s="135">
        <v>622.029237</v>
      </c>
      <c r="E158" s="135">
        <v>44.740296</v>
      </c>
      <c r="F158" s="135"/>
      <c r="G158" s="135">
        <v>2050</v>
      </c>
    </row>
    <row r="159" ht="17" customHeight="1" spans="1:7">
      <c r="A159" s="133">
        <v>2080109</v>
      </c>
      <c r="B159" s="134" t="s">
        <v>2396</v>
      </c>
      <c r="C159" s="135">
        <f t="shared" si="72"/>
        <v>4793.63238</v>
      </c>
      <c r="D159" s="135">
        <v>2026.606137</v>
      </c>
      <c r="E159" s="135">
        <v>194.718843</v>
      </c>
      <c r="F159" s="135"/>
      <c r="G159" s="135">
        <v>2572.3074</v>
      </c>
    </row>
    <row r="160" ht="17" customHeight="1" spans="1:7">
      <c r="A160" s="133">
        <v>2080150</v>
      </c>
      <c r="B160" s="134" t="s">
        <v>2283</v>
      </c>
      <c r="C160" s="135">
        <f t="shared" si="72"/>
        <v>369.888761</v>
      </c>
      <c r="D160" s="135">
        <v>334.657795</v>
      </c>
      <c r="E160" s="135">
        <v>21.230966</v>
      </c>
      <c r="F160" s="135"/>
      <c r="G160" s="135">
        <v>14</v>
      </c>
    </row>
    <row r="161" ht="17" customHeight="1" spans="1:7">
      <c r="A161" s="133">
        <v>2080199</v>
      </c>
      <c r="B161" s="134" t="s">
        <v>2397</v>
      </c>
      <c r="C161" s="135">
        <f t="shared" si="72"/>
        <v>144.5</v>
      </c>
      <c r="D161" s="135"/>
      <c r="E161" s="135"/>
      <c r="F161" s="135"/>
      <c r="G161" s="135">
        <v>144.5</v>
      </c>
    </row>
    <row r="162" ht="17" customHeight="1" spans="1:7">
      <c r="A162" s="133">
        <v>20802</v>
      </c>
      <c r="B162" s="134" t="s">
        <v>2398</v>
      </c>
      <c r="C162" s="135">
        <f t="shared" ref="C162:G162" si="73">SUM(C163:C167)</f>
        <v>4406.956276</v>
      </c>
      <c r="D162" s="135">
        <f t="shared" si="73"/>
        <v>1072.851236</v>
      </c>
      <c r="E162" s="135">
        <f t="shared" si="73"/>
        <v>103.70504</v>
      </c>
      <c r="F162" s="135">
        <f t="shared" si="73"/>
        <v>0</v>
      </c>
      <c r="G162" s="135">
        <f t="shared" si="73"/>
        <v>3230.4</v>
      </c>
    </row>
    <row r="163" ht="17" customHeight="1" spans="1:7">
      <c r="A163" s="133">
        <v>2080201</v>
      </c>
      <c r="B163" s="134" t="s">
        <v>2269</v>
      </c>
      <c r="C163" s="135">
        <f t="shared" ref="C163:C167" si="74">D163+E163+F163+G163</f>
        <v>994.287926</v>
      </c>
      <c r="D163" s="135">
        <v>901.464138</v>
      </c>
      <c r="E163" s="135">
        <v>92.823788</v>
      </c>
      <c r="F163" s="135"/>
      <c r="G163" s="135"/>
    </row>
    <row r="164" ht="17" customHeight="1" spans="1:7">
      <c r="A164" s="133">
        <v>2080202</v>
      </c>
      <c r="B164" s="134" t="s">
        <v>2337</v>
      </c>
      <c r="C164" s="135">
        <f t="shared" si="74"/>
        <v>323.76835</v>
      </c>
      <c r="D164" s="135">
        <v>171.387098</v>
      </c>
      <c r="E164" s="135">
        <v>10.881252</v>
      </c>
      <c r="F164" s="135"/>
      <c r="G164" s="135">
        <v>141.5</v>
      </c>
    </row>
    <row r="165" ht="17" customHeight="1" spans="1:7">
      <c r="A165" s="133">
        <v>2080206</v>
      </c>
      <c r="B165" s="134" t="s">
        <v>2399</v>
      </c>
      <c r="C165" s="135">
        <f t="shared" si="74"/>
        <v>53</v>
      </c>
      <c r="D165" s="135"/>
      <c r="E165" s="135"/>
      <c r="F165" s="135"/>
      <c r="G165" s="135">
        <v>53</v>
      </c>
    </row>
    <row r="166" ht="17" customHeight="1" spans="1:7">
      <c r="A166" s="133">
        <v>2080207</v>
      </c>
      <c r="B166" s="134" t="s">
        <v>2400</v>
      </c>
      <c r="C166" s="135">
        <f t="shared" si="74"/>
        <v>20</v>
      </c>
      <c r="D166" s="135"/>
      <c r="E166" s="135"/>
      <c r="F166" s="135"/>
      <c r="G166" s="135">
        <v>20</v>
      </c>
    </row>
    <row r="167" ht="17" customHeight="1" spans="1:7">
      <c r="A167" s="133">
        <v>2080299</v>
      </c>
      <c r="B167" s="134" t="s">
        <v>2401</v>
      </c>
      <c r="C167" s="135">
        <f t="shared" si="74"/>
        <v>3015.9</v>
      </c>
      <c r="D167" s="135"/>
      <c r="E167" s="135"/>
      <c r="F167" s="135"/>
      <c r="G167" s="135">
        <v>3015.9</v>
      </c>
    </row>
    <row r="168" ht="17" customHeight="1" spans="1:7">
      <c r="A168" s="133">
        <v>20805</v>
      </c>
      <c r="B168" s="134" t="s">
        <v>2402</v>
      </c>
      <c r="C168" s="135">
        <f t="shared" ref="C168:G168" si="75">SUM(C169:C170)</f>
        <v>18208</v>
      </c>
      <c r="D168" s="135">
        <f t="shared" si="75"/>
        <v>0</v>
      </c>
      <c r="E168" s="135">
        <f t="shared" si="75"/>
        <v>0</v>
      </c>
      <c r="F168" s="135">
        <f t="shared" si="75"/>
        <v>0</v>
      </c>
      <c r="G168" s="135">
        <f t="shared" si="75"/>
        <v>18208</v>
      </c>
    </row>
    <row r="169" ht="17" customHeight="1" spans="1:7">
      <c r="A169" s="133">
        <v>2080506</v>
      </c>
      <c r="B169" s="134" t="s">
        <v>2403</v>
      </c>
      <c r="C169" s="135">
        <f t="shared" ref="C169:C172" si="76">D169+E169+F169+G169</f>
        <v>10600</v>
      </c>
      <c r="D169" s="135"/>
      <c r="E169" s="135"/>
      <c r="F169" s="135"/>
      <c r="G169" s="135">
        <v>10600</v>
      </c>
    </row>
    <row r="170" ht="17" customHeight="1" spans="1:7">
      <c r="A170" s="133">
        <v>2080507</v>
      </c>
      <c r="B170" s="134" t="s">
        <v>2404</v>
      </c>
      <c r="C170" s="135">
        <f t="shared" si="76"/>
        <v>7608</v>
      </c>
      <c r="D170" s="135"/>
      <c r="E170" s="135"/>
      <c r="F170" s="135"/>
      <c r="G170" s="135">
        <v>7608</v>
      </c>
    </row>
    <row r="171" ht="17" customHeight="1" spans="1:7">
      <c r="A171" s="133">
        <v>20807</v>
      </c>
      <c r="B171" s="134" t="s">
        <v>2405</v>
      </c>
      <c r="C171" s="135">
        <f t="shared" ref="C171:G171" si="77">SUM(C172)</f>
        <v>3638</v>
      </c>
      <c r="D171" s="135">
        <f t="shared" si="77"/>
        <v>0</v>
      </c>
      <c r="E171" s="135">
        <f t="shared" si="77"/>
        <v>0</v>
      </c>
      <c r="F171" s="135">
        <f t="shared" si="77"/>
        <v>0</v>
      </c>
      <c r="G171" s="135">
        <f t="shared" si="77"/>
        <v>3638</v>
      </c>
    </row>
    <row r="172" ht="17" customHeight="1" spans="1:7">
      <c r="A172" s="133">
        <v>2080799</v>
      </c>
      <c r="B172" s="134" t="s">
        <v>2406</v>
      </c>
      <c r="C172" s="135">
        <f t="shared" si="76"/>
        <v>3638</v>
      </c>
      <c r="D172" s="135"/>
      <c r="E172" s="135"/>
      <c r="F172" s="135"/>
      <c r="G172" s="135">
        <f>4855-1217</f>
        <v>3638</v>
      </c>
    </row>
    <row r="173" ht="17" customHeight="1" spans="1:7">
      <c r="A173" s="133">
        <v>20808</v>
      </c>
      <c r="B173" s="134" t="s">
        <v>2407</v>
      </c>
      <c r="C173" s="135">
        <f t="shared" ref="C173:G173" si="78">SUM(C174:C178)</f>
        <v>8549</v>
      </c>
      <c r="D173" s="135">
        <f t="shared" si="78"/>
        <v>0</v>
      </c>
      <c r="E173" s="135">
        <f t="shared" si="78"/>
        <v>0</v>
      </c>
      <c r="F173" s="135">
        <f t="shared" si="78"/>
        <v>0</v>
      </c>
      <c r="G173" s="135">
        <f t="shared" si="78"/>
        <v>8549</v>
      </c>
    </row>
    <row r="174" ht="17" customHeight="1" spans="1:7">
      <c r="A174" s="133">
        <v>2080801</v>
      </c>
      <c r="B174" s="134" t="s">
        <v>2408</v>
      </c>
      <c r="C174" s="135">
        <f t="shared" ref="C174:C178" si="79">D174+E174+F174+G174</f>
        <v>1500</v>
      </c>
      <c r="D174" s="135"/>
      <c r="E174" s="135"/>
      <c r="F174" s="135"/>
      <c r="G174" s="135">
        <v>1500</v>
      </c>
    </row>
    <row r="175" ht="17" customHeight="1" spans="1:7">
      <c r="A175" s="133">
        <v>2080803</v>
      </c>
      <c r="B175" s="134" t="s">
        <v>2409</v>
      </c>
      <c r="C175" s="135">
        <f t="shared" si="79"/>
        <v>458</v>
      </c>
      <c r="D175" s="135"/>
      <c r="E175" s="135"/>
      <c r="F175" s="135"/>
      <c r="G175" s="135">
        <v>458</v>
      </c>
    </row>
    <row r="176" ht="17" customHeight="1" spans="1:7">
      <c r="A176" s="133">
        <v>2080805</v>
      </c>
      <c r="B176" s="134" t="s">
        <v>2410</v>
      </c>
      <c r="C176" s="135">
        <f t="shared" si="79"/>
        <v>1746</v>
      </c>
      <c r="D176" s="135"/>
      <c r="E176" s="135"/>
      <c r="F176" s="135"/>
      <c r="G176" s="135">
        <v>1746</v>
      </c>
    </row>
    <row r="177" ht="17" customHeight="1" spans="1:7">
      <c r="A177" s="133">
        <v>2080808</v>
      </c>
      <c r="B177" s="134" t="s">
        <v>2411</v>
      </c>
      <c r="C177" s="135">
        <f t="shared" si="79"/>
        <v>300</v>
      </c>
      <c r="D177" s="135"/>
      <c r="E177" s="135"/>
      <c r="F177" s="135"/>
      <c r="G177" s="135">
        <v>300</v>
      </c>
    </row>
    <row r="178" ht="17" customHeight="1" spans="1:7">
      <c r="A178" s="133">
        <v>2080899</v>
      </c>
      <c r="B178" s="134" t="s">
        <v>2412</v>
      </c>
      <c r="C178" s="135">
        <f t="shared" si="79"/>
        <v>4545</v>
      </c>
      <c r="D178" s="135"/>
      <c r="E178" s="135"/>
      <c r="F178" s="135"/>
      <c r="G178" s="135">
        <v>4545</v>
      </c>
    </row>
    <row r="179" ht="17" customHeight="1" spans="1:7">
      <c r="A179" s="133">
        <v>20809</v>
      </c>
      <c r="B179" s="134" t="s">
        <v>2413</v>
      </c>
      <c r="C179" s="135">
        <f t="shared" ref="C179:G179" si="80">SUM(C180:C183)</f>
        <v>759</v>
      </c>
      <c r="D179" s="135">
        <f t="shared" si="80"/>
        <v>0</v>
      </c>
      <c r="E179" s="135">
        <f t="shared" si="80"/>
        <v>0</v>
      </c>
      <c r="F179" s="135">
        <f t="shared" si="80"/>
        <v>0</v>
      </c>
      <c r="G179" s="135">
        <f t="shared" si="80"/>
        <v>759</v>
      </c>
    </row>
    <row r="180" ht="17" customHeight="1" spans="1:7">
      <c r="A180" s="133">
        <v>2080901</v>
      </c>
      <c r="B180" s="134" t="s">
        <v>2414</v>
      </c>
      <c r="C180" s="135">
        <f t="shared" ref="C180:C183" si="81">D180+E180+F180+G180</f>
        <v>443</v>
      </c>
      <c r="D180" s="135"/>
      <c r="E180" s="135"/>
      <c r="F180" s="135"/>
      <c r="G180" s="135">
        <v>443</v>
      </c>
    </row>
    <row r="181" ht="17" customHeight="1" spans="1:7">
      <c r="A181" s="133">
        <v>2080903</v>
      </c>
      <c r="B181" s="134" t="s">
        <v>2415</v>
      </c>
      <c r="C181" s="135">
        <f t="shared" si="81"/>
        <v>23</v>
      </c>
      <c r="D181" s="135"/>
      <c r="E181" s="135"/>
      <c r="F181" s="135"/>
      <c r="G181" s="135">
        <v>23</v>
      </c>
    </row>
    <row r="182" ht="17" customHeight="1" spans="1:7">
      <c r="A182" s="133">
        <v>2080905</v>
      </c>
      <c r="B182" s="134" t="s">
        <v>2416</v>
      </c>
      <c r="C182" s="135">
        <f t="shared" si="81"/>
        <v>200</v>
      </c>
      <c r="D182" s="135"/>
      <c r="E182" s="135"/>
      <c r="F182" s="135"/>
      <c r="G182" s="135">
        <v>200</v>
      </c>
    </row>
    <row r="183" ht="17" customHeight="1" spans="1:7">
      <c r="A183" s="133">
        <v>2080999</v>
      </c>
      <c r="B183" s="134" t="s">
        <v>2417</v>
      </c>
      <c r="C183" s="135">
        <f t="shared" si="81"/>
        <v>93</v>
      </c>
      <c r="D183" s="135"/>
      <c r="E183" s="135"/>
      <c r="F183" s="135"/>
      <c r="G183" s="135">
        <v>93</v>
      </c>
    </row>
    <row r="184" ht="17" customHeight="1" spans="1:7">
      <c r="A184" s="133">
        <v>20810</v>
      </c>
      <c r="B184" s="134" t="s">
        <v>2418</v>
      </c>
      <c r="C184" s="135">
        <f t="shared" ref="C184:G184" si="82">SUM(C185:C188)</f>
        <v>6206.965361</v>
      </c>
      <c r="D184" s="135">
        <f t="shared" si="82"/>
        <v>813.635483</v>
      </c>
      <c r="E184" s="135">
        <f t="shared" si="82"/>
        <v>65.847074</v>
      </c>
      <c r="F184" s="135">
        <f t="shared" si="82"/>
        <v>0</v>
      </c>
      <c r="G184" s="135">
        <f t="shared" si="82"/>
        <v>5327.482804</v>
      </c>
    </row>
    <row r="185" ht="17" customHeight="1" spans="1:7">
      <c r="A185" s="133">
        <v>2081001</v>
      </c>
      <c r="B185" s="134" t="s">
        <v>2419</v>
      </c>
      <c r="C185" s="135">
        <f t="shared" ref="C185:C188" si="83">D185+E185+F185+G185</f>
        <v>190</v>
      </c>
      <c r="D185" s="135"/>
      <c r="E185" s="135"/>
      <c r="F185" s="135"/>
      <c r="G185" s="135">
        <v>190</v>
      </c>
    </row>
    <row r="186" ht="17" customHeight="1" spans="1:7">
      <c r="A186" s="133">
        <v>2081002</v>
      </c>
      <c r="B186" s="134" t="s">
        <v>2420</v>
      </c>
      <c r="C186" s="135">
        <f t="shared" si="83"/>
        <v>2585</v>
      </c>
      <c r="D186" s="135"/>
      <c r="E186" s="135"/>
      <c r="F186" s="135"/>
      <c r="G186" s="135">
        <v>2585</v>
      </c>
    </row>
    <row r="187" ht="17" customHeight="1" spans="1:7">
      <c r="A187" s="133">
        <v>2081004</v>
      </c>
      <c r="B187" s="134" t="s">
        <v>2421</v>
      </c>
      <c r="C187" s="135">
        <f t="shared" si="83"/>
        <v>2131.479779</v>
      </c>
      <c r="D187" s="135">
        <v>302.307975</v>
      </c>
      <c r="E187" s="135">
        <v>31.689</v>
      </c>
      <c r="F187" s="135"/>
      <c r="G187" s="135">
        <f>1845.482804-48</f>
        <v>1797.482804</v>
      </c>
    </row>
    <row r="188" ht="17" customHeight="1" spans="1:7">
      <c r="A188" s="133">
        <v>2081005</v>
      </c>
      <c r="B188" s="134" t="s">
        <v>2422</v>
      </c>
      <c r="C188" s="135">
        <f t="shared" si="83"/>
        <v>1300.485582</v>
      </c>
      <c r="D188" s="135">
        <v>511.327508</v>
      </c>
      <c r="E188" s="135">
        <v>34.158074</v>
      </c>
      <c r="F188" s="135"/>
      <c r="G188" s="135">
        <v>755</v>
      </c>
    </row>
    <row r="189" ht="17" customHeight="1" spans="1:7">
      <c r="A189" s="133">
        <v>20811</v>
      </c>
      <c r="B189" s="134" t="s">
        <v>2423</v>
      </c>
      <c r="C189" s="135">
        <f t="shared" ref="C189:G189" si="84">SUM(C190:C193)</f>
        <v>3303.023679</v>
      </c>
      <c r="D189" s="135">
        <f t="shared" si="84"/>
        <v>277.032709</v>
      </c>
      <c r="E189" s="135">
        <f t="shared" si="84"/>
        <v>33.69097</v>
      </c>
      <c r="F189" s="135">
        <f t="shared" si="84"/>
        <v>0</v>
      </c>
      <c r="G189" s="135">
        <f t="shared" si="84"/>
        <v>2992.3</v>
      </c>
    </row>
    <row r="190" ht="17" customHeight="1" spans="1:7">
      <c r="A190" s="133">
        <v>2081101</v>
      </c>
      <c r="B190" s="134" t="s">
        <v>2269</v>
      </c>
      <c r="C190" s="135">
        <f t="shared" ref="C190:C193" si="85">D190+E190+F190+G190</f>
        <v>328.723679</v>
      </c>
      <c r="D190" s="135">
        <v>277.032709</v>
      </c>
      <c r="E190" s="135">
        <v>33.69097</v>
      </c>
      <c r="F190" s="135"/>
      <c r="G190" s="135">
        <v>18</v>
      </c>
    </row>
    <row r="191" ht="17" customHeight="1" spans="1:7">
      <c r="A191" s="133">
        <v>2081104</v>
      </c>
      <c r="B191" s="134" t="s">
        <v>2424</v>
      </c>
      <c r="C191" s="135">
        <f t="shared" si="85"/>
        <v>505.3</v>
      </c>
      <c r="D191" s="135"/>
      <c r="E191" s="135"/>
      <c r="F191" s="135"/>
      <c r="G191" s="135">
        <v>505.3</v>
      </c>
    </row>
    <row r="192" ht="17" customHeight="1" spans="1:7">
      <c r="A192" s="133">
        <v>2081107</v>
      </c>
      <c r="B192" s="134" t="s">
        <v>2425</v>
      </c>
      <c r="C192" s="135">
        <f t="shared" si="85"/>
        <v>1600</v>
      </c>
      <c r="D192" s="135"/>
      <c r="E192" s="135"/>
      <c r="F192" s="135"/>
      <c r="G192" s="135">
        <v>1600</v>
      </c>
    </row>
    <row r="193" ht="17" customHeight="1" spans="1:7">
      <c r="A193" s="133">
        <v>2081199</v>
      </c>
      <c r="B193" s="134" t="s">
        <v>2426</v>
      </c>
      <c r="C193" s="135">
        <f t="shared" si="85"/>
        <v>869</v>
      </c>
      <c r="D193" s="135"/>
      <c r="E193" s="135"/>
      <c r="F193" s="135"/>
      <c r="G193" s="135">
        <v>869</v>
      </c>
    </row>
    <row r="194" ht="17" customHeight="1" spans="1:7">
      <c r="A194" s="133">
        <v>20816</v>
      </c>
      <c r="B194" s="134" t="s">
        <v>2427</v>
      </c>
      <c r="C194" s="135">
        <f t="shared" ref="C194:G194" si="86">SUM(C195:C196)</f>
        <v>139.311978</v>
      </c>
      <c r="D194" s="135">
        <f t="shared" si="86"/>
        <v>87.524166</v>
      </c>
      <c r="E194" s="135">
        <f t="shared" si="86"/>
        <v>16.287812</v>
      </c>
      <c r="F194" s="135">
        <f t="shared" si="86"/>
        <v>0</v>
      </c>
      <c r="G194" s="135">
        <f t="shared" si="86"/>
        <v>35.5</v>
      </c>
    </row>
    <row r="195" ht="17" customHeight="1" spans="1:7">
      <c r="A195" s="133">
        <v>2081601</v>
      </c>
      <c r="B195" s="134" t="s">
        <v>2269</v>
      </c>
      <c r="C195" s="135">
        <f t="shared" ref="C195:C199" si="87">D195+E195+F195+G195</f>
        <v>91.656978</v>
      </c>
      <c r="D195" s="135">
        <v>87.524166</v>
      </c>
      <c r="E195" s="135">
        <v>4.132812</v>
      </c>
      <c r="F195" s="135"/>
      <c r="G195" s="135"/>
    </row>
    <row r="196" ht="17" customHeight="1" spans="1:7">
      <c r="A196" s="133">
        <v>2081699</v>
      </c>
      <c r="B196" s="134" t="s">
        <v>2428</v>
      </c>
      <c r="C196" s="135">
        <f t="shared" si="87"/>
        <v>47.655</v>
      </c>
      <c r="D196" s="135"/>
      <c r="E196" s="135">
        <v>12.155</v>
      </c>
      <c r="F196" s="135"/>
      <c r="G196" s="135">
        <v>35.5</v>
      </c>
    </row>
    <row r="197" ht="17" customHeight="1" spans="1:7">
      <c r="A197" s="133">
        <v>20820</v>
      </c>
      <c r="B197" s="134" t="s">
        <v>2429</v>
      </c>
      <c r="C197" s="135">
        <f t="shared" ref="C197:G197" si="88">SUM(C198:C199)</f>
        <v>176.143112</v>
      </c>
      <c r="D197" s="135">
        <f t="shared" si="88"/>
        <v>93.573792</v>
      </c>
      <c r="E197" s="135">
        <f t="shared" si="88"/>
        <v>9.56932</v>
      </c>
      <c r="F197" s="135">
        <f t="shared" si="88"/>
        <v>0</v>
      </c>
      <c r="G197" s="135">
        <f t="shared" si="88"/>
        <v>73</v>
      </c>
    </row>
    <row r="198" ht="17" customHeight="1" spans="1:7">
      <c r="A198" s="133">
        <v>2082001</v>
      </c>
      <c r="B198" s="134" t="s">
        <v>2430</v>
      </c>
      <c r="C198" s="135">
        <f t="shared" si="87"/>
        <v>33</v>
      </c>
      <c r="D198" s="135"/>
      <c r="E198" s="135"/>
      <c r="F198" s="135"/>
      <c r="G198" s="135">
        <v>33</v>
      </c>
    </row>
    <row r="199" ht="17" customHeight="1" spans="1:7">
      <c r="A199" s="133">
        <v>2082002</v>
      </c>
      <c r="B199" s="134" t="s">
        <v>2431</v>
      </c>
      <c r="C199" s="135">
        <f t="shared" si="87"/>
        <v>143.143112</v>
      </c>
      <c r="D199" s="135">
        <v>93.573792</v>
      </c>
      <c r="E199" s="135">
        <v>9.56932</v>
      </c>
      <c r="F199" s="135"/>
      <c r="G199" s="135">
        <v>40</v>
      </c>
    </row>
    <row r="200" ht="17" customHeight="1" spans="1:7">
      <c r="A200" s="133">
        <v>20821</v>
      </c>
      <c r="B200" s="134" t="s">
        <v>2432</v>
      </c>
      <c r="C200" s="135">
        <f t="shared" ref="C200:G200" si="89">SUM(C201)</f>
        <v>1200</v>
      </c>
      <c r="D200" s="135">
        <f t="shared" si="89"/>
        <v>0</v>
      </c>
      <c r="E200" s="135">
        <f t="shared" si="89"/>
        <v>0</v>
      </c>
      <c r="F200" s="135">
        <f t="shared" si="89"/>
        <v>0</v>
      </c>
      <c r="G200" s="135">
        <f t="shared" si="89"/>
        <v>1200</v>
      </c>
    </row>
    <row r="201" ht="17" customHeight="1" spans="1:7">
      <c r="A201" s="133">
        <v>2082102</v>
      </c>
      <c r="B201" s="134" t="s">
        <v>2433</v>
      </c>
      <c r="C201" s="135">
        <f t="shared" ref="C201:C205" si="90">D201+E201+F201+G201</f>
        <v>1200</v>
      </c>
      <c r="D201" s="135"/>
      <c r="E201" s="135"/>
      <c r="F201" s="135"/>
      <c r="G201" s="135">
        <v>1200</v>
      </c>
    </row>
    <row r="202" ht="17" customHeight="1" spans="1:7">
      <c r="A202" s="133">
        <v>20825</v>
      </c>
      <c r="B202" s="134" t="s">
        <v>2434</v>
      </c>
      <c r="C202" s="135">
        <f t="shared" ref="C202:G202" si="91">SUM(C203)</f>
        <v>12.22</v>
      </c>
      <c r="D202" s="135">
        <f t="shared" si="91"/>
        <v>0</v>
      </c>
      <c r="E202" s="135">
        <f t="shared" si="91"/>
        <v>0</v>
      </c>
      <c r="F202" s="135">
        <f t="shared" si="91"/>
        <v>0</v>
      </c>
      <c r="G202" s="135">
        <f t="shared" si="91"/>
        <v>12.22</v>
      </c>
    </row>
    <row r="203" ht="17" customHeight="1" spans="1:7">
      <c r="A203" s="133">
        <v>2082501</v>
      </c>
      <c r="B203" s="134" t="s">
        <v>2435</v>
      </c>
      <c r="C203" s="135">
        <f t="shared" si="90"/>
        <v>12.22</v>
      </c>
      <c r="D203" s="135"/>
      <c r="E203" s="135"/>
      <c r="F203" s="135"/>
      <c r="G203" s="135">
        <v>12.22</v>
      </c>
    </row>
    <row r="204" ht="17" customHeight="1" spans="1:7">
      <c r="A204" s="133">
        <v>20826</v>
      </c>
      <c r="B204" s="134" t="s">
        <v>2436</v>
      </c>
      <c r="C204" s="135">
        <f t="shared" ref="C204:G204" si="92">SUM(C205)</f>
        <v>18957</v>
      </c>
      <c r="D204" s="135">
        <f t="shared" si="92"/>
        <v>0</v>
      </c>
      <c r="E204" s="135">
        <f t="shared" si="92"/>
        <v>0</v>
      </c>
      <c r="F204" s="135">
        <f t="shared" si="92"/>
        <v>0</v>
      </c>
      <c r="G204" s="135">
        <f t="shared" si="92"/>
        <v>18957</v>
      </c>
    </row>
    <row r="205" ht="17" customHeight="1" spans="1:7">
      <c r="A205" s="133">
        <v>2082602</v>
      </c>
      <c r="B205" s="134" t="s">
        <v>2437</v>
      </c>
      <c r="C205" s="135">
        <f t="shared" si="90"/>
        <v>18957</v>
      </c>
      <c r="D205" s="135"/>
      <c r="E205" s="135"/>
      <c r="F205" s="135"/>
      <c r="G205" s="135">
        <v>18957</v>
      </c>
    </row>
    <row r="206" ht="17" customHeight="1" spans="1:7">
      <c r="A206" s="133">
        <v>20827</v>
      </c>
      <c r="B206" s="134" t="s">
        <v>2438</v>
      </c>
      <c r="C206" s="135">
        <f t="shared" ref="C206:G206" si="93">SUM(C207)</f>
        <v>1500</v>
      </c>
      <c r="D206" s="135">
        <f t="shared" si="93"/>
        <v>0</v>
      </c>
      <c r="E206" s="135">
        <f t="shared" si="93"/>
        <v>0</v>
      </c>
      <c r="F206" s="135">
        <f t="shared" si="93"/>
        <v>0</v>
      </c>
      <c r="G206" s="135">
        <f t="shared" si="93"/>
        <v>1500</v>
      </c>
    </row>
    <row r="207" ht="17" customHeight="1" spans="1:7">
      <c r="A207" s="133">
        <v>2082702</v>
      </c>
      <c r="B207" s="134" t="s">
        <v>2439</v>
      </c>
      <c r="C207" s="135">
        <f t="shared" ref="C207:C212" si="94">D207+E207+F207+G207</f>
        <v>1500</v>
      </c>
      <c r="D207" s="135"/>
      <c r="E207" s="135"/>
      <c r="F207" s="135"/>
      <c r="G207" s="135">
        <v>1500</v>
      </c>
    </row>
    <row r="208" ht="17" customHeight="1" spans="1:7">
      <c r="A208" s="133">
        <v>20828</v>
      </c>
      <c r="B208" s="134" t="s">
        <v>2440</v>
      </c>
      <c r="C208" s="135">
        <f t="shared" ref="C208:G208" si="95">SUM(C209:C212)</f>
        <v>1090.046604</v>
      </c>
      <c r="D208" s="135">
        <f t="shared" si="95"/>
        <v>699.023865</v>
      </c>
      <c r="E208" s="135">
        <f t="shared" si="95"/>
        <v>56.022739</v>
      </c>
      <c r="F208" s="135">
        <f t="shared" si="95"/>
        <v>180</v>
      </c>
      <c r="G208" s="135">
        <f t="shared" si="95"/>
        <v>155</v>
      </c>
    </row>
    <row r="209" ht="17" customHeight="1" spans="1:7">
      <c r="A209" s="133">
        <v>2082801</v>
      </c>
      <c r="B209" s="134" t="s">
        <v>2269</v>
      </c>
      <c r="C209" s="135">
        <f t="shared" si="94"/>
        <v>418.562915</v>
      </c>
      <c r="D209" s="135">
        <v>383.284827</v>
      </c>
      <c r="E209" s="135">
        <v>35.278088</v>
      </c>
      <c r="F209" s="135"/>
      <c r="G209" s="135"/>
    </row>
    <row r="210" ht="17" customHeight="1" spans="1:7">
      <c r="A210" s="133">
        <v>2082804</v>
      </c>
      <c r="B210" s="134" t="s">
        <v>2441</v>
      </c>
      <c r="C210" s="135">
        <f t="shared" si="94"/>
        <v>100</v>
      </c>
      <c r="D210" s="135"/>
      <c r="E210" s="135"/>
      <c r="F210" s="135"/>
      <c r="G210" s="135">
        <v>100</v>
      </c>
    </row>
    <row r="211" ht="17" customHeight="1" spans="1:7">
      <c r="A211" s="133">
        <v>2082850</v>
      </c>
      <c r="B211" s="134" t="s">
        <v>2283</v>
      </c>
      <c r="C211" s="135">
        <f t="shared" si="94"/>
        <v>346.483689</v>
      </c>
      <c r="D211" s="135">
        <v>315.739038</v>
      </c>
      <c r="E211" s="135">
        <v>20.744651</v>
      </c>
      <c r="F211" s="135"/>
      <c r="G211" s="135">
        <v>10</v>
      </c>
    </row>
    <row r="212" ht="17" customHeight="1" spans="1:7">
      <c r="A212" s="133">
        <v>2082899</v>
      </c>
      <c r="B212" s="134" t="s">
        <v>2442</v>
      </c>
      <c r="C212" s="135">
        <f t="shared" si="94"/>
        <v>225</v>
      </c>
      <c r="D212" s="135"/>
      <c r="E212" s="135"/>
      <c r="F212" s="135">
        <v>180</v>
      </c>
      <c r="G212" s="135">
        <v>45</v>
      </c>
    </row>
    <row r="213" ht="17" customHeight="1" spans="1:7">
      <c r="A213" s="133">
        <v>20830</v>
      </c>
      <c r="B213" s="134" t="s">
        <v>2443</v>
      </c>
      <c r="C213" s="135">
        <f t="shared" ref="C213:G213" si="96">SUM(C214)</f>
        <v>650</v>
      </c>
      <c r="D213" s="135">
        <f t="shared" si="96"/>
        <v>0</v>
      </c>
      <c r="E213" s="135">
        <f t="shared" si="96"/>
        <v>0</v>
      </c>
      <c r="F213" s="135">
        <f t="shared" si="96"/>
        <v>0</v>
      </c>
      <c r="G213" s="135">
        <f t="shared" si="96"/>
        <v>650</v>
      </c>
    </row>
    <row r="214" ht="17" customHeight="1" spans="1:7">
      <c r="A214" s="133">
        <v>2083099</v>
      </c>
      <c r="B214" s="134" t="s">
        <v>2444</v>
      </c>
      <c r="C214" s="135">
        <f>D214+E214+F214+G214</f>
        <v>650</v>
      </c>
      <c r="D214" s="135"/>
      <c r="E214" s="135"/>
      <c r="F214" s="135"/>
      <c r="G214" s="135">
        <v>650</v>
      </c>
    </row>
    <row r="215" ht="17" customHeight="1" spans="1:7">
      <c r="A215" s="133">
        <v>20899</v>
      </c>
      <c r="B215" s="134" t="s">
        <v>2445</v>
      </c>
      <c r="C215" s="135">
        <f t="shared" ref="C215:G215" si="97">SUM(C216)</f>
        <v>7290</v>
      </c>
      <c r="D215" s="135">
        <f t="shared" si="97"/>
        <v>0</v>
      </c>
      <c r="E215" s="135">
        <f t="shared" si="97"/>
        <v>0</v>
      </c>
      <c r="F215" s="135">
        <f t="shared" si="97"/>
        <v>0</v>
      </c>
      <c r="G215" s="135">
        <f t="shared" si="97"/>
        <v>7290</v>
      </c>
    </row>
    <row r="216" ht="17" customHeight="1" spans="1:7">
      <c r="A216" s="133">
        <v>2089999</v>
      </c>
      <c r="B216" s="136" t="s">
        <v>2446</v>
      </c>
      <c r="C216" s="135">
        <f>D216+E216+F216+G216</f>
        <v>7290</v>
      </c>
      <c r="D216" s="135"/>
      <c r="E216" s="135"/>
      <c r="F216" s="135"/>
      <c r="G216" s="135">
        <v>7290</v>
      </c>
    </row>
    <row r="217" ht="17" customHeight="1" spans="1:7">
      <c r="A217" s="130" t="s">
        <v>2447</v>
      </c>
      <c r="B217" s="131" t="s">
        <v>2448</v>
      </c>
      <c r="C217" s="132">
        <f>SUM(C218,C221,C226,C230,C236,C239,C241,C245,C243)</f>
        <v>34879.642987</v>
      </c>
      <c r="D217" s="132">
        <f>SUM(D218,D221,D226,D230,D236,D239,D241,D245,D243)</f>
        <v>13898.567007</v>
      </c>
      <c r="E217" s="132">
        <f>SUM(E218,E221,E226,E230,E236,E239,E241,E245,E243)</f>
        <v>366.98238</v>
      </c>
      <c r="F217" s="132">
        <f>SUM(F218,F221,F226,F230,F236,F239,F241,F245,F243)</f>
        <v>48.5</v>
      </c>
      <c r="G217" s="132">
        <f>SUM(G218,G221,G226,G230,G236,G239,G241,G245,G243)</f>
        <v>20565.5936</v>
      </c>
    </row>
    <row r="218" ht="17" customHeight="1" spans="1:7">
      <c r="A218" s="133">
        <v>21001</v>
      </c>
      <c r="B218" s="134" t="s">
        <v>2449</v>
      </c>
      <c r="C218" s="135">
        <f>D218+E218+F218+G218</f>
        <v>1416.280606</v>
      </c>
      <c r="D218" s="137">
        <f t="shared" ref="D218:G218" si="98">SUM(D219:D220)</f>
        <v>1294.858884</v>
      </c>
      <c r="E218" s="137">
        <f t="shared" si="98"/>
        <v>121.421722</v>
      </c>
      <c r="F218" s="137">
        <f t="shared" si="98"/>
        <v>0</v>
      </c>
      <c r="G218" s="137">
        <f t="shared" si="98"/>
        <v>0</v>
      </c>
    </row>
    <row r="219" ht="17" customHeight="1" spans="1:7">
      <c r="A219" s="133">
        <v>2100101</v>
      </c>
      <c r="B219" s="134" t="s">
        <v>2269</v>
      </c>
      <c r="C219" s="135">
        <f t="shared" ref="C219:C246" si="99">D219+E219+F219+G219</f>
        <v>1416.280606</v>
      </c>
      <c r="D219" s="135">
        <v>1294.858884</v>
      </c>
      <c r="E219" s="135">
        <v>121.421722</v>
      </c>
      <c r="F219" s="135"/>
      <c r="G219" s="135"/>
    </row>
    <row r="220" ht="17" customHeight="1" spans="1:7">
      <c r="A220" s="133">
        <v>2100199</v>
      </c>
      <c r="B220" s="134" t="s">
        <v>2450</v>
      </c>
      <c r="C220" s="135">
        <f t="shared" si="99"/>
        <v>0</v>
      </c>
      <c r="D220" s="135"/>
      <c r="E220" s="135"/>
      <c r="F220" s="135"/>
      <c r="G220" s="135">
        <f>238-238</f>
        <v>0</v>
      </c>
    </row>
    <row r="221" ht="17" customHeight="1" spans="1:7">
      <c r="A221" s="133">
        <v>21002</v>
      </c>
      <c r="B221" s="134" t="s">
        <v>2451</v>
      </c>
      <c r="C221" s="135">
        <f t="shared" si="99"/>
        <v>6232.404188</v>
      </c>
      <c r="D221" s="137">
        <f t="shared" ref="D221:G221" si="100">SUM(D222:D225)</f>
        <v>3242.022052</v>
      </c>
      <c r="E221" s="137">
        <f t="shared" si="100"/>
        <v>76.988536</v>
      </c>
      <c r="F221" s="137">
        <f t="shared" si="100"/>
        <v>0</v>
      </c>
      <c r="G221" s="137">
        <f t="shared" si="100"/>
        <v>2913.3936</v>
      </c>
    </row>
    <row r="222" ht="17" customHeight="1" spans="1:7">
      <c r="A222" s="133">
        <v>2100201</v>
      </c>
      <c r="B222" s="134" t="s">
        <v>2452</v>
      </c>
      <c r="C222" s="135">
        <f t="shared" si="99"/>
        <v>3139.415345</v>
      </c>
      <c r="D222" s="135">
        <v>1422.067345</v>
      </c>
      <c r="E222" s="135">
        <v>0.548</v>
      </c>
      <c r="F222" s="135"/>
      <c r="G222" s="135">
        <v>1716.8</v>
      </c>
    </row>
    <row r="223" ht="17" customHeight="1" spans="1:7">
      <c r="A223" s="133">
        <v>2100202</v>
      </c>
      <c r="B223" s="134" t="s">
        <v>2453</v>
      </c>
      <c r="C223" s="135">
        <f t="shared" si="99"/>
        <v>1873.5936</v>
      </c>
      <c r="D223" s="135">
        <v>702</v>
      </c>
      <c r="E223" s="135"/>
      <c r="F223" s="135"/>
      <c r="G223" s="135">
        <f>1276.5936-105</f>
        <v>1171.5936</v>
      </c>
    </row>
    <row r="224" ht="17" customHeight="1" spans="1:7">
      <c r="A224" s="133">
        <v>2100206</v>
      </c>
      <c r="B224" s="134" t="s">
        <v>2454</v>
      </c>
      <c r="C224" s="135">
        <f t="shared" si="99"/>
        <v>1219.395243</v>
      </c>
      <c r="D224" s="135">
        <v>1117.954707</v>
      </c>
      <c r="E224" s="135">
        <v>76.440536</v>
      </c>
      <c r="F224" s="135"/>
      <c r="G224" s="135">
        <v>25</v>
      </c>
    </row>
    <row r="225" ht="17" customHeight="1" spans="1:7">
      <c r="A225" s="133">
        <v>2100299</v>
      </c>
      <c r="B225" s="134" t="s">
        <v>2455</v>
      </c>
      <c r="C225" s="135">
        <f t="shared" si="99"/>
        <v>0</v>
      </c>
      <c r="D225" s="135"/>
      <c r="E225" s="135"/>
      <c r="F225" s="135"/>
      <c r="G225" s="135">
        <f>248-248</f>
        <v>0</v>
      </c>
    </row>
    <row r="226" ht="17" customHeight="1" spans="1:7">
      <c r="A226" s="133">
        <v>21003</v>
      </c>
      <c r="B226" s="134" t="s">
        <v>2456</v>
      </c>
      <c r="C226" s="135">
        <f t="shared" si="99"/>
        <v>7955.436736</v>
      </c>
      <c r="D226" s="135">
        <f t="shared" ref="D226:G226" si="101">SUM(D227:D229)</f>
        <v>7421.766736</v>
      </c>
      <c r="E226" s="135">
        <f t="shared" si="101"/>
        <v>0.17</v>
      </c>
      <c r="F226" s="135">
        <f t="shared" si="101"/>
        <v>3.5</v>
      </c>
      <c r="G226" s="135">
        <f t="shared" si="101"/>
        <v>530</v>
      </c>
    </row>
    <row r="227" ht="17" customHeight="1" spans="1:7">
      <c r="A227" s="133">
        <v>2100301</v>
      </c>
      <c r="B227" s="134" t="s">
        <v>2457</v>
      </c>
      <c r="C227" s="135">
        <f t="shared" si="99"/>
        <v>806.219136</v>
      </c>
      <c r="D227" s="135">
        <v>806.219136</v>
      </c>
      <c r="E227" s="135"/>
      <c r="F227" s="135"/>
      <c r="G227" s="135"/>
    </row>
    <row r="228" ht="17" customHeight="1" spans="1:7">
      <c r="A228" s="133">
        <v>2100302</v>
      </c>
      <c r="B228" s="134" t="s">
        <v>2458</v>
      </c>
      <c r="C228" s="135">
        <f t="shared" si="99"/>
        <v>7149.2176</v>
      </c>
      <c r="D228" s="135">
        <v>6615.5476</v>
      </c>
      <c r="E228" s="135">
        <v>0.17</v>
      </c>
      <c r="F228" s="135">
        <v>3.5</v>
      </c>
      <c r="G228" s="135">
        <v>530</v>
      </c>
    </row>
    <row r="229" ht="17" customHeight="1" spans="1:7">
      <c r="A229" s="133">
        <v>2100399</v>
      </c>
      <c r="B229" s="134" t="s">
        <v>2459</v>
      </c>
      <c r="C229" s="135">
        <f t="shared" si="99"/>
        <v>0</v>
      </c>
      <c r="D229" s="135"/>
      <c r="E229" s="135"/>
      <c r="F229" s="135"/>
      <c r="G229" s="135">
        <f>864-864</f>
        <v>0</v>
      </c>
    </row>
    <row r="230" ht="17" customHeight="1" spans="1:7">
      <c r="A230" s="133">
        <v>21004</v>
      </c>
      <c r="B230" s="134" t="s">
        <v>2460</v>
      </c>
      <c r="C230" s="135">
        <f t="shared" si="99"/>
        <v>6557.521457</v>
      </c>
      <c r="D230" s="137">
        <f t="shared" ref="D230:G230" si="102">SUM(D231:D235)</f>
        <v>1939.919335</v>
      </c>
      <c r="E230" s="137">
        <f t="shared" si="102"/>
        <v>168.402122</v>
      </c>
      <c r="F230" s="137">
        <f t="shared" si="102"/>
        <v>0</v>
      </c>
      <c r="G230" s="137">
        <f t="shared" si="102"/>
        <v>4449.2</v>
      </c>
    </row>
    <row r="231" ht="17" customHeight="1" spans="1:7">
      <c r="A231" s="133">
        <v>2100401</v>
      </c>
      <c r="B231" s="134" t="s">
        <v>2461</v>
      </c>
      <c r="C231" s="135">
        <f t="shared" si="99"/>
        <v>1156.304528</v>
      </c>
      <c r="D231" s="135">
        <v>1060.53896</v>
      </c>
      <c r="E231" s="135">
        <v>95.765568</v>
      </c>
      <c r="F231" s="135"/>
      <c r="G231" s="135"/>
    </row>
    <row r="232" ht="17" customHeight="1" spans="1:7">
      <c r="A232" s="133">
        <v>2100402</v>
      </c>
      <c r="B232" s="134" t="s">
        <v>2462</v>
      </c>
      <c r="C232" s="135">
        <f t="shared" si="99"/>
        <v>762.848585</v>
      </c>
      <c r="D232" s="135">
        <v>676.845539</v>
      </c>
      <c r="E232" s="135">
        <v>61.003046</v>
      </c>
      <c r="F232" s="135"/>
      <c r="G232" s="135">
        <v>25</v>
      </c>
    </row>
    <row r="233" ht="17" customHeight="1" spans="1:7">
      <c r="A233" s="133">
        <v>2100408</v>
      </c>
      <c r="B233" s="134" t="s">
        <v>2463</v>
      </c>
      <c r="C233" s="135">
        <f t="shared" si="99"/>
        <v>1330</v>
      </c>
      <c r="D233" s="135"/>
      <c r="E233" s="135"/>
      <c r="F233" s="135"/>
      <c r="G233" s="135">
        <f>1587-257</f>
        <v>1330</v>
      </c>
    </row>
    <row r="234" ht="17" customHeight="1" spans="1:7">
      <c r="A234" s="133">
        <v>2100409</v>
      </c>
      <c r="B234" s="134" t="s">
        <v>2464</v>
      </c>
      <c r="C234" s="135">
        <f t="shared" si="99"/>
        <v>2770.186924</v>
      </c>
      <c r="D234" s="135">
        <v>77.033236</v>
      </c>
      <c r="E234" s="135">
        <v>4.153688</v>
      </c>
      <c r="F234" s="135"/>
      <c r="G234" s="135">
        <f>3180-491</f>
        <v>2689</v>
      </c>
    </row>
    <row r="235" ht="17" customHeight="1" spans="1:7">
      <c r="A235" s="133">
        <v>2100499</v>
      </c>
      <c r="B235" s="134" t="s">
        <v>2465</v>
      </c>
      <c r="C235" s="135">
        <f t="shared" si="99"/>
        <v>538.18142</v>
      </c>
      <c r="D235" s="135">
        <v>125.5016</v>
      </c>
      <c r="E235" s="135">
        <v>7.47982</v>
      </c>
      <c r="F235" s="135"/>
      <c r="G235" s="135">
        <v>405.2</v>
      </c>
    </row>
    <row r="236" ht="17" customHeight="1" spans="1:7">
      <c r="A236" s="133">
        <v>21007</v>
      </c>
      <c r="B236" s="134" t="s">
        <v>2466</v>
      </c>
      <c r="C236" s="135">
        <f t="shared" si="99"/>
        <v>761</v>
      </c>
      <c r="D236" s="135">
        <f t="shared" ref="D236:F236" si="103">SUM(D238)</f>
        <v>0</v>
      </c>
      <c r="E236" s="135">
        <f t="shared" si="103"/>
        <v>0</v>
      </c>
      <c r="F236" s="135">
        <f t="shared" si="103"/>
        <v>0</v>
      </c>
      <c r="G236" s="135">
        <f>SUM(G237:G238)</f>
        <v>761</v>
      </c>
    </row>
    <row r="237" ht="17" customHeight="1" spans="1:7">
      <c r="A237" s="133">
        <v>2100717</v>
      </c>
      <c r="B237" s="134" t="s">
        <v>2467</v>
      </c>
      <c r="C237" s="135">
        <f t="shared" si="99"/>
        <v>101</v>
      </c>
      <c r="D237" s="135"/>
      <c r="E237" s="135"/>
      <c r="F237" s="135"/>
      <c r="G237" s="135">
        <v>101</v>
      </c>
    </row>
    <row r="238" ht="17" customHeight="1" spans="1:7">
      <c r="A238" s="133">
        <v>2100799</v>
      </c>
      <c r="B238" s="134" t="s">
        <v>2468</v>
      </c>
      <c r="C238" s="135">
        <f t="shared" si="99"/>
        <v>660</v>
      </c>
      <c r="D238" s="135"/>
      <c r="E238" s="135"/>
      <c r="F238" s="135"/>
      <c r="G238" s="135">
        <v>660</v>
      </c>
    </row>
    <row r="239" ht="17" customHeight="1" spans="1:7">
      <c r="A239" s="133">
        <v>21011</v>
      </c>
      <c r="B239" s="134" t="s">
        <v>2469</v>
      </c>
      <c r="C239" s="135">
        <f t="shared" si="99"/>
        <v>200</v>
      </c>
      <c r="D239" s="135">
        <f t="shared" ref="D239:G239" si="104">SUM(D240)</f>
        <v>0</v>
      </c>
      <c r="E239" s="135">
        <f t="shared" si="104"/>
        <v>0</v>
      </c>
      <c r="F239" s="135">
        <f t="shared" si="104"/>
        <v>0</v>
      </c>
      <c r="G239" s="135">
        <f t="shared" si="104"/>
        <v>200</v>
      </c>
    </row>
    <row r="240" ht="17" customHeight="1" spans="1:7">
      <c r="A240" s="133">
        <v>2101199</v>
      </c>
      <c r="B240" s="134" t="s">
        <v>2470</v>
      </c>
      <c r="C240" s="135">
        <f t="shared" si="99"/>
        <v>200</v>
      </c>
      <c r="D240" s="135"/>
      <c r="E240" s="135"/>
      <c r="F240" s="135"/>
      <c r="G240" s="135">
        <v>200</v>
      </c>
    </row>
    <row r="241" ht="17" customHeight="1" spans="1:7">
      <c r="A241" s="133">
        <v>21012</v>
      </c>
      <c r="B241" s="134" t="s">
        <v>2471</v>
      </c>
      <c r="C241" s="135">
        <f t="shared" si="99"/>
        <v>8909</v>
      </c>
      <c r="D241" s="135">
        <f t="shared" ref="D241:G241" si="105">SUM(D242)</f>
        <v>0</v>
      </c>
      <c r="E241" s="135">
        <f t="shared" si="105"/>
        <v>0</v>
      </c>
      <c r="F241" s="135">
        <f t="shared" si="105"/>
        <v>0</v>
      </c>
      <c r="G241" s="135">
        <f t="shared" si="105"/>
        <v>8909</v>
      </c>
    </row>
    <row r="242" ht="17" customHeight="1" spans="1:7">
      <c r="A242" s="133">
        <v>2101202</v>
      </c>
      <c r="B242" s="134" t="s">
        <v>2472</v>
      </c>
      <c r="C242" s="135">
        <f t="shared" si="99"/>
        <v>8909</v>
      </c>
      <c r="D242" s="135"/>
      <c r="E242" s="135"/>
      <c r="F242" s="135"/>
      <c r="G242" s="135">
        <v>8909</v>
      </c>
    </row>
    <row r="243" ht="17" customHeight="1" spans="1:7">
      <c r="A243" s="133">
        <v>21013</v>
      </c>
      <c r="B243" s="134" t="s">
        <v>2473</v>
      </c>
      <c r="C243" s="135">
        <f t="shared" si="99"/>
        <v>1015</v>
      </c>
      <c r="D243" s="137">
        <f t="shared" ref="D243:G243" si="106">SUM(D244)</f>
        <v>0</v>
      </c>
      <c r="E243" s="137">
        <f t="shared" si="106"/>
        <v>0</v>
      </c>
      <c r="F243" s="137">
        <f t="shared" si="106"/>
        <v>0</v>
      </c>
      <c r="G243" s="137">
        <f t="shared" si="106"/>
        <v>1015</v>
      </c>
    </row>
    <row r="244" ht="17" customHeight="1" spans="1:7">
      <c r="A244" s="133">
        <v>2101301</v>
      </c>
      <c r="B244" s="134" t="s">
        <v>2474</v>
      </c>
      <c r="C244" s="135">
        <f t="shared" si="99"/>
        <v>1015</v>
      </c>
      <c r="D244" s="135"/>
      <c r="E244" s="135"/>
      <c r="F244" s="135"/>
      <c r="G244" s="135">
        <v>1015</v>
      </c>
    </row>
    <row r="245" ht="17" customHeight="1" spans="1:7">
      <c r="A245" s="133">
        <v>21099</v>
      </c>
      <c r="B245" s="134" t="s">
        <v>2475</v>
      </c>
      <c r="C245" s="135">
        <f t="shared" si="99"/>
        <v>1833</v>
      </c>
      <c r="D245" s="135">
        <f t="shared" ref="D245:G245" si="107">SUM(D246)</f>
        <v>0</v>
      </c>
      <c r="E245" s="135">
        <f t="shared" si="107"/>
        <v>0</v>
      </c>
      <c r="F245" s="135">
        <f t="shared" si="107"/>
        <v>45</v>
      </c>
      <c r="G245" s="135">
        <f t="shared" si="107"/>
        <v>1788</v>
      </c>
    </row>
    <row r="246" ht="17" customHeight="1" spans="1:7">
      <c r="A246" s="133">
        <v>2109999</v>
      </c>
      <c r="B246" s="136" t="s">
        <v>2476</v>
      </c>
      <c r="C246" s="135">
        <f t="shared" si="99"/>
        <v>1833</v>
      </c>
      <c r="D246" s="135"/>
      <c r="E246" s="135"/>
      <c r="F246" s="135">
        <v>45</v>
      </c>
      <c r="G246" s="135">
        <f>1831-43</f>
        <v>1788</v>
      </c>
    </row>
    <row r="247" ht="17" customHeight="1" spans="1:7">
      <c r="A247" s="130" t="s">
        <v>2477</v>
      </c>
      <c r="B247" s="131" t="s">
        <v>2478</v>
      </c>
      <c r="C247" s="132">
        <f t="shared" ref="C247:G247" si="108">SUM(C248,C251,C253,C256,C260,C262,C264,C266)</f>
        <v>10063.880711</v>
      </c>
      <c r="D247" s="132">
        <f t="shared" si="108"/>
        <v>184.047155</v>
      </c>
      <c r="E247" s="132">
        <f t="shared" si="108"/>
        <v>17.393556</v>
      </c>
      <c r="F247" s="132">
        <f t="shared" si="108"/>
        <v>0</v>
      </c>
      <c r="G247" s="132">
        <f t="shared" si="108"/>
        <v>9862.44</v>
      </c>
    </row>
    <row r="248" ht="17" customHeight="1" spans="1:7">
      <c r="A248" s="133">
        <v>21101</v>
      </c>
      <c r="B248" s="134" t="s">
        <v>2479</v>
      </c>
      <c r="C248" s="135">
        <f t="shared" ref="C248:G248" si="109">SUM(C249:C250)</f>
        <v>425.44</v>
      </c>
      <c r="D248" s="135">
        <f t="shared" si="109"/>
        <v>0</v>
      </c>
      <c r="E248" s="135">
        <f t="shared" si="109"/>
        <v>0</v>
      </c>
      <c r="F248" s="135">
        <f t="shared" si="109"/>
        <v>0</v>
      </c>
      <c r="G248" s="135">
        <f t="shared" si="109"/>
        <v>425.44</v>
      </c>
    </row>
    <row r="249" ht="17" customHeight="1" spans="1:7">
      <c r="A249" s="133">
        <v>2110104</v>
      </c>
      <c r="B249" s="134" t="s">
        <v>2480</v>
      </c>
      <c r="C249" s="135">
        <f t="shared" ref="C249:C252" si="110">D249+E249+F249+G249</f>
        <v>180</v>
      </c>
      <c r="D249" s="135"/>
      <c r="E249" s="135"/>
      <c r="F249" s="135"/>
      <c r="G249" s="135">
        <v>180</v>
      </c>
    </row>
    <row r="250" ht="17" customHeight="1" spans="1:7">
      <c r="A250" s="133">
        <v>2110199</v>
      </c>
      <c r="B250" s="134" t="s">
        <v>2481</v>
      </c>
      <c r="C250" s="135">
        <f t="shared" si="110"/>
        <v>245.44</v>
      </c>
      <c r="D250" s="135"/>
      <c r="E250" s="135"/>
      <c r="F250" s="135"/>
      <c r="G250" s="135">
        <v>245.44</v>
      </c>
    </row>
    <row r="251" ht="17" customHeight="1" spans="1:7">
      <c r="A251" s="133">
        <v>21102</v>
      </c>
      <c r="B251" s="134" t="s">
        <v>2482</v>
      </c>
      <c r="C251" s="135">
        <f t="shared" ref="C251:G251" si="111">SUM(C252)</f>
        <v>980</v>
      </c>
      <c r="D251" s="135">
        <f t="shared" si="111"/>
        <v>0</v>
      </c>
      <c r="E251" s="135">
        <f t="shared" si="111"/>
        <v>0</v>
      </c>
      <c r="F251" s="135">
        <f t="shared" si="111"/>
        <v>0</v>
      </c>
      <c r="G251" s="135">
        <f t="shared" si="111"/>
        <v>980</v>
      </c>
    </row>
    <row r="252" ht="17" customHeight="1" spans="1:7">
      <c r="A252" s="133">
        <v>2110299</v>
      </c>
      <c r="B252" s="134" t="s">
        <v>2483</v>
      </c>
      <c r="C252" s="135">
        <f t="shared" si="110"/>
        <v>980</v>
      </c>
      <c r="D252" s="135"/>
      <c r="E252" s="135"/>
      <c r="F252" s="135"/>
      <c r="G252" s="135">
        <v>980</v>
      </c>
    </row>
    <row r="253" ht="17" customHeight="1" spans="1:7">
      <c r="A253" s="133">
        <v>21103</v>
      </c>
      <c r="B253" s="134" t="s">
        <v>2484</v>
      </c>
      <c r="C253" s="135">
        <f>SUM(C254:C255)</f>
        <v>7607</v>
      </c>
      <c r="D253" s="135">
        <f t="shared" ref="D253:F253" si="112">SUM(D254)</f>
        <v>0</v>
      </c>
      <c r="E253" s="135">
        <f t="shared" si="112"/>
        <v>0</v>
      </c>
      <c r="F253" s="135">
        <f t="shared" si="112"/>
        <v>0</v>
      </c>
      <c r="G253" s="135">
        <f>SUM(G254:G255)</f>
        <v>7607</v>
      </c>
    </row>
    <row r="254" ht="17" customHeight="1" spans="1:7">
      <c r="A254" s="133">
        <v>2110301</v>
      </c>
      <c r="B254" s="134" t="s">
        <v>2485</v>
      </c>
      <c r="C254" s="135">
        <f t="shared" ref="C254:C259" si="113">D254+E254+F254+G254</f>
        <v>4521</v>
      </c>
      <c r="D254" s="135"/>
      <c r="E254" s="135"/>
      <c r="F254" s="135"/>
      <c r="G254" s="135">
        <f>6508-1987</f>
        <v>4521</v>
      </c>
    </row>
    <row r="255" ht="17" customHeight="1" spans="1:7">
      <c r="A255" s="133">
        <v>2110307</v>
      </c>
      <c r="B255" s="134" t="s">
        <v>2486</v>
      </c>
      <c r="C255" s="135">
        <f t="shared" si="113"/>
        <v>3086</v>
      </c>
      <c r="D255" s="135"/>
      <c r="E255" s="135"/>
      <c r="F255" s="135"/>
      <c r="G255" s="135">
        <v>3086</v>
      </c>
    </row>
    <row r="256" ht="17" customHeight="1" spans="1:7">
      <c r="A256" s="133">
        <v>21104</v>
      </c>
      <c r="B256" s="134" t="s">
        <v>2487</v>
      </c>
      <c r="C256" s="135">
        <f t="shared" ref="C256:G256" si="114">SUM(C257:C259)</f>
        <v>540</v>
      </c>
      <c r="D256" s="135">
        <f t="shared" si="114"/>
        <v>0</v>
      </c>
      <c r="E256" s="135">
        <f t="shared" si="114"/>
        <v>0</v>
      </c>
      <c r="F256" s="135">
        <f t="shared" si="114"/>
        <v>0</v>
      </c>
      <c r="G256" s="135">
        <f t="shared" si="114"/>
        <v>540</v>
      </c>
    </row>
    <row r="257" ht="17" customHeight="1" spans="1:7">
      <c r="A257" s="133">
        <v>2110401</v>
      </c>
      <c r="B257" s="134" t="s">
        <v>2488</v>
      </c>
      <c r="C257" s="135">
        <f t="shared" si="113"/>
        <v>540</v>
      </c>
      <c r="D257" s="135"/>
      <c r="E257" s="135"/>
      <c r="F257" s="135"/>
      <c r="G257" s="135">
        <v>540</v>
      </c>
    </row>
    <row r="258" ht="17" customHeight="1" spans="1:7">
      <c r="A258" s="133">
        <v>2110405</v>
      </c>
      <c r="B258" s="134" t="s">
        <v>2489</v>
      </c>
      <c r="C258" s="135">
        <f t="shared" si="113"/>
        <v>0</v>
      </c>
      <c r="D258" s="135"/>
      <c r="E258" s="135"/>
      <c r="F258" s="135"/>
      <c r="G258" s="135">
        <f>200-200</f>
        <v>0</v>
      </c>
    </row>
    <row r="259" ht="17" customHeight="1" spans="1:7">
      <c r="A259" s="133">
        <v>2110499</v>
      </c>
      <c r="B259" s="134" t="s">
        <v>2490</v>
      </c>
      <c r="C259" s="135">
        <f t="shared" si="113"/>
        <v>0</v>
      </c>
      <c r="D259" s="135"/>
      <c r="E259" s="135"/>
      <c r="F259" s="135"/>
      <c r="G259" s="135">
        <f>2454-2454</f>
        <v>0</v>
      </c>
    </row>
    <row r="260" ht="17" customHeight="1" spans="1:7">
      <c r="A260" s="133">
        <v>21105</v>
      </c>
      <c r="B260" s="134" t="s">
        <v>2491</v>
      </c>
      <c r="C260" s="135">
        <f t="shared" ref="C260:G260" si="115">SUM(C261)</f>
        <v>10</v>
      </c>
      <c r="D260" s="135">
        <f t="shared" si="115"/>
        <v>0</v>
      </c>
      <c r="E260" s="135">
        <f t="shared" si="115"/>
        <v>0</v>
      </c>
      <c r="F260" s="135">
        <f t="shared" si="115"/>
        <v>0</v>
      </c>
      <c r="G260" s="135">
        <f t="shared" si="115"/>
        <v>10</v>
      </c>
    </row>
    <row r="261" ht="17" customHeight="1" spans="1:7">
      <c r="A261" s="133">
        <v>2110507</v>
      </c>
      <c r="B261" s="134" t="s">
        <v>2492</v>
      </c>
      <c r="C261" s="135">
        <f t="shared" ref="C261:C265" si="116">D261+E261+F261+G261</f>
        <v>10</v>
      </c>
      <c r="D261" s="135"/>
      <c r="E261" s="135"/>
      <c r="F261" s="135"/>
      <c r="G261" s="135">
        <v>10</v>
      </c>
    </row>
    <row r="262" ht="17" customHeight="1" spans="1:7">
      <c r="A262" s="133">
        <v>21107</v>
      </c>
      <c r="B262" s="134" t="s">
        <v>2493</v>
      </c>
      <c r="C262" s="135">
        <f t="shared" ref="C262:G262" si="117">SUM(C263)</f>
        <v>0</v>
      </c>
      <c r="D262" s="135">
        <f t="shared" si="117"/>
        <v>0</v>
      </c>
      <c r="E262" s="135">
        <f t="shared" si="117"/>
        <v>0</v>
      </c>
      <c r="F262" s="135">
        <f t="shared" si="117"/>
        <v>0</v>
      </c>
      <c r="G262" s="135">
        <f t="shared" si="117"/>
        <v>0</v>
      </c>
    </row>
    <row r="263" ht="17" customHeight="1" spans="1:7">
      <c r="A263" s="133">
        <v>2110799</v>
      </c>
      <c r="B263" s="134" t="s">
        <v>2494</v>
      </c>
      <c r="C263" s="135">
        <f t="shared" si="116"/>
        <v>0</v>
      </c>
      <c r="D263" s="135"/>
      <c r="E263" s="135"/>
      <c r="F263" s="135"/>
      <c r="G263" s="135">
        <f>2895-2895</f>
        <v>0</v>
      </c>
    </row>
    <row r="264" ht="17" customHeight="1" spans="1:7">
      <c r="A264" s="133">
        <v>21110</v>
      </c>
      <c r="B264" s="134" t="s">
        <v>2495</v>
      </c>
      <c r="C264" s="135">
        <f t="shared" ref="C264:G264" si="118">SUM(C265)</f>
        <v>0</v>
      </c>
      <c r="D264" s="135">
        <f t="shared" si="118"/>
        <v>0</v>
      </c>
      <c r="E264" s="135">
        <f t="shared" si="118"/>
        <v>0</v>
      </c>
      <c r="F264" s="135">
        <f t="shared" si="118"/>
        <v>0</v>
      </c>
      <c r="G264" s="135">
        <f t="shared" si="118"/>
        <v>0</v>
      </c>
    </row>
    <row r="265" ht="17" customHeight="1" spans="1:7">
      <c r="A265" s="133">
        <v>2111001</v>
      </c>
      <c r="B265" s="134" t="s">
        <v>2496</v>
      </c>
      <c r="C265" s="135">
        <f t="shared" si="116"/>
        <v>0</v>
      </c>
      <c r="D265" s="135"/>
      <c r="E265" s="135"/>
      <c r="F265" s="135"/>
      <c r="G265" s="135">
        <f>63-63</f>
        <v>0</v>
      </c>
    </row>
    <row r="266" ht="17" customHeight="1" spans="1:7">
      <c r="A266" s="133">
        <v>21199</v>
      </c>
      <c r="B266" s="134" t="s">
        <v>2497</v>
      </c>
      <c r="C266" s="135">
        <f t="shared" ref="C266:G266" si="119">SUM(C267)</f>
        <v>501.440711</v>
      </c>
      <c r="D266" s="135">
        <f t="shared" si="119"/>
        <v>184.047155</v>
      </c>
      <c r="E266" s="135">
        <f t="shared" si="119"/>
        <v>17.393556</v>
      </c>
      <c r="F266" s="135">
        <f t="shared" si="119"/>
        <v>0</v>
      </c>
      <c r="G266" s="135">
        <f t="shared" si="119"/>
        <v>300</v>
      </c>
    </row>
    <row r="267" ht="17" customHeight="1" spans="1:7">
      <c r="A267" s="133">
        <v>2119999</v>
      </c>
      <c r="B267" s="136" t="s">
        <v>2498</v>
      </c>
      <c r="C267" s="135">
        <f t="shared" ref="C267:C274" si="120">D267+E267+F267+G267</f>
        <v>501.440711</v>
      </c>
      <c r="D267" s="135">
        <v>184.047155</v>
      </c>
      <c r="E267" s="135">
        <v>17.393556</v>
      </c>
      <c r="F267" s="135"/>
      <c r="G267" s="135">
        <f>330-30</f>
        <v>300</v>
      </c>
    </row>
    <row r="268" ht="17" customHeight="1" spans="1:7">
      <c r="A268" s="130" t="s">
        <v>2499</v>
      </c>
      <c r="B268" s="131" t="s">
        <v>2500</v>
      </c>
      <c r="C268" s="132">
        <f>SUM(C269,C275,C277,C280,C282)</f>
        <v>82583.383566</v>
      </c>
      <c r="D268" s="132">
        <f>SUM(D269,D275,D277,D280,D282)</f>
        <v>8711.522859</v>
      </c>
      <c r="E268" s="132">
        <f>SUM(E269,E275,E277,E280,E282)</f>
        <v>761.330218</v>
      </c>
      <c r="F268" s="132">
        <f>SUM(F269,F275,F277,F280,F282)</f>
        <v>5598.610411</v>
      </c>
      <c r="G268" s="132">
        <f>SUM(G269,G275,G277,G280,G282)</f>
        <v>67511.920078</v>
      </c>
    </row>
    <row r="269" ht="17" customHeight="1" spans="1:7">
      <c r="A269" s="133">
        <v>21201</v>
      </c>
      <c r="B269" s="134" t="s">
        <v>2501</v>
      </c>
      <c r="C269" s="135">
        <f t="shared" ref="C269:G269" si="121">SUM(C270:C274)</f>
        <v>14397.076335</v>
      </c>
      <c r="D269" s="135">
        <f t="shared" si="121"/>
        <v>2290.608513</v>
      </c>
      <c r="E269" s="135">
        <f t="shared" si="121"/>
        <v>165.270422</v>
      </c>
      <c r="F269" s="135">
        <f t="shared" si="121"/>
        <v>326.68</v>
      </c>
      <c r="G269" s="135">
        <f t="shared" si="121"/>
        <v>11614.5174</v>
      </c>
    </row>
    <row r="270" ht="17" customHeight="1" spans="1:7">
      <c r="A270" s="133">
        <v>2120101</v>
      </c>
      <c r="B270" s="134" t="s">
        <v>2269</v>
      </c>
      <c r="C270" s="135">
        <f t="shared" si="120"/>
        <v>142.1021</v>
      </c>
      <c r="D270" s="135">
        <v>132.8268</v>
      </c>
      <c r="E270" s="135">
        <v>9.2753</v>
      </c>
      <c r="F270" s="135"/>
      <c r="G270" s="135"/>
    </row>
    <row r="271" ht="17" customHeight="1" spans="1:7">
      <c r="A271" s="133">
        <v>2120102</v>
      </c>
      <c r="B271" s="134" t="s">
        <v>2337</v>
      </c>
      <c r="C271" s="135">
        <f t="shared" si="120"/>
        <v>5</v>
      </c>
      <c r="D271" s="135"/>
      <c r="E271" s="135"/>
      <c r="F271" s="135"/>
      <c r="G271" s="135">
        <v>5</v>
      </c>
    </row>
    <row r="272" ht="17" customHeight="1" spans="1:7">
      <c r="A272" s="133">
        <v>2120104</v>
      </c>
      <c r="B272" s="134" t="s">
        <v>2502</v>
      </c>
      <c r="C272" s="135">
        <f t="shared" si="120"/>
        <v>5878.039813</v>
      </c>
      <c r="D272" s="135">
        <v>1662.336581</v>
      </c>
      <c r="E272" s="135">
        <v>115.743232</v>
      </c>
      <c r="F272" s="135"/>
      <c r="G272" s="135">
        <v>4099.96</v>
      </c>
    </row>
    <row r="273" ht="17" customHeight="1" spans="1:7">
      <c r="A273" s="133">
        <v>2120106</v>
      </c>
      <c r="B273" s="134" t="s">
        <v>2503</v>
      </c>
      <c r="C273" s="135">
        <f t="shared" si="120"/>
        <v>368.739681</v>
      </c>
      <c r="D273" s="135">
        <v>239.221485</v>
      </c>
      <c r="E273" s="135">
        <v>20.818196</v>
      </c>
      <c r="F273" s="135"/>
      <c r="G273" s="135">
        <v>108.7</v>
      </c>
    </row>
    <row r="274" ht="17" customHeight="1" spans="1:7">
      <c r="A274" s="133">
        <v>2120199</v>
      </c>
      <c r="B274" s="134" t="s">
        <v>2504</v>
      </c>
      <c r="C274" s="135">
        <f t="shared" si="120"/>
        <v>8003.194741</v>
      </c>
      <c r="D274" s="135">
        <v>256.223647</v>
      </c>
      <c r="E274" s="135">
        <v>19.433694</v>
      </c>
      <c r="F274" s="135">
        <v>326.68</v>
      </c>
      <c r="G274" s="135">
        <v>7400.8574</v>
      </c>
    </row>
    <row r="275" ht="17" customHeight="1" spans="1:7">
      <c r="A275" s="133">
        <v>21202</v>
      </c>
      <c r="B275" s="134" t="s">
        <v>2505</v>
      </c>
      <c r="C275" s="135">
        <f t="shared" ref="C275:G275" si="122">SUM(C276)</f>
        <v>134.3</v>
      </c>
      <c r="D275" s="135">
        <f t="shared" si="122"/>
        <v>0</v>
      </c>
      <c r="E275" s="135">
        <f t="shared" si="122"/>
        <v>0</v>
      </c>
      <c r="F275" s="135">
        <f t="shared" si="122"/>
        <v>0</v>
      </c>
      <c r="G275" s="135">
        <f t="shared" si="122"/>
        <v>134.3</v>
      </c>
    </row>
    <row r="276" ht="17" customHeight="1" spans="1:7">
      <c r="A276" s="133">
        <v>2120201</v>
      </c>
      <c r="B276" s="134" t="s">
        <v>2506</v>
      </c>
      <c r="C276" s="135">
        <f t="shared" ref="C276:C279" si="123">D276+E276+F276+G276</f>
        <v>134.3</v>
      </c>
      <c r="D276" s="135"/>
      <c r="E276" s="135"/>
      <c r="F276" s="135"/>
      <c r="G276" s="135">
        <v>134.3</v>
      </c>
    </row>
    <row r="277" ht="17" customHeight="1" spans="1:7">
      <c r="A277" s="133">
        <v>21203</v>
      </c>
      <c r="B277" s="134" t="s">
        <v>2507</v>
      </c>
      <c r="C277" s="135">
        <f t="shared" ref="C277:G277" si="124">SUM(C278:C279)</f>
        <v>29238.979744</v>
      </c>
      <c r="D277" s="135">
        <f t="shared" si="124"/>
        <v>1804.297639</v>
      </c>
      <c r="E277" s="135">
        <f t="shared" si="124"/>
        <v>200.203694</v>
      </c>
      <c r="F277" s="135">
        <f t="shared" si="124"/>
        <v>1003.598411</v>
      </c>
      <c r="G277" s="135">
        <f t="shared" si="124"/>
        <v>26230.88</v>
      </c>
    </row>
    <row r="278" ht="17" customHeight="1" spans="1:7">
      <c r="A278" s="133">
        <v>2120303</v>
      </c>
      <c r="B278" s="134" t="s">
        <v>2508</v>
      </c>
      <c r="C278" s="135">
        <f t="shared" si="123"/>
        <v>24871.879437</v>
      </c>
      <c r="D278" s="135">
        <v>668.979437</v>
      </c>
      <c r="E278" s="135"/>
      <c r="F278" s="135"/>
      <c r="G278" s="135">
        <f>23002.9+1200</f>
        <v>24202.9</v>
      </c>
    </row>
    <row r="279" ht="17" customHeight="1" spans="1:7">
      <c r="A279" s="133">
        <v>2120399</v>
      </c>
      <c r="B279" s="134" t="s">
        <v>2509</v>
      </c>
      <c r="C279" s="135">
        <f t="shared" si="123"/>
        <v>4367.100307</v>
      </c>
      <c r="D279" s="135">
        <v>1135.318202</v>
      </c>
      <c r="E279" s="135">
        <v>200.203694</v>
      </c>
      <c r="F279" s="135">
        <v>1003.598411</v>
      </c>
      <c r="G279" s="135">
        <f>2827.98-800</f>
        <v>2027.98</v>
      </c>
    </row>
    <row r="280" ht="17" customHeight="1" spans="1:7">
      <c r="A280" s="133">
        <v>21205</v>
      </c>
      <c r="B280" s="134" t="s">
        <v>2510</v>
      </c>
      <c r="C280" s="135">
        <f t="shared" ref="C280:G280" si="125">SUM(C281)</f>
        <v>16058.813064</v>
      </c>
      <c r="D280" s="135">
        <f t="shared" si="125"/>
        <v>1416.78394</v>
      </c>
      <c r="E280" s="135">
        <f t="shared" si="125"/>
        <v>110.404446</v>
      </c>
      <c r="F280" s="135">
        <f t="shared" si="125"/>
        <v>3349.28</v>
      </c>
      <c r="G280" s="135">
        <f t="shared" si="125"/>
        <v>11182.344678</v>
      </c>
    </row>
    <row r="281" ht="17" customHeight="1" spans="1:7">
      <c r="A281" s="133">
        <v>2120501</v>
      </c>
      <c r="B281" s="134" t="s">
        <v>2511</v>
      </c>
      <c r="C281" s="135">
        <f>D281+E281+F281+G281</f>
        <v>16058.813064</v>
      </c>
      <c r="D281" s="135">
        <v>1416.78394</v>
      </c>
      <c r="E281" s="135">
        <v>110.404446</v>
      </c>
      <c r="F281" s="135">
        <v>3349.28</v>
      </c>
      <c r="G281" s="135">
        <f>11982.344678-800</f>
        <v>11182.344678</v>
      </c>
    </row>
    <row r="282" ht="17" customHeight="1" spans="1:7">
      <c r="A282" s="133">
        <v>21299</v>
      </c>
      <c r="B282" s="134" t="s">
        <v>2512</v>
      </c>
      <c r="C282" s="135">
        <f t="shared" ref="C282:G282" si="126">SUM(C283)</f>
        <v>22754.214423</v>
      </c>
      <c r="D282" s="135">
        <f t="shared" si="126"/>
        <v>3199.832767</v>
      </c>
      <c r="E282" s="135">
        <f t="shared" si="126"/>
        <v>285.451656</v>
      </c>
      <c r="F282" s="135">
        <f t="shared" si="126"/>
        <v>919.052</v>
      </c>
      <c r="G282" s="135">
        <f t="shared" si="126"/>
        <v>18349.878</v>
      </c>
    </row>
    <row r="283" ht="17" customHeight="1" spans="1:7">
      <c r="A283" s="133">
        <v>2129999</v>
      </c>
      <c r="B283" s="136" t="s">
        <v>2513</v>
      </c>
      <c r="C283" s="135">
        <f>D283+E283+F283+G283</f>
        <v>22754.214423</v>
      </c>
      <c r="D283" s="135">
        <v>3199.832767</v>
      </c>
      <c r="E283" s="135">
        <v>285.451656</v>
      </c>
      <c r="F283" s="135">
        <v>919.052</v>
      </c>
      <c r="G283" s="135">
        <f>16269.878-920+100-1400-1200+5500</f>
        <v>18349.878</v>
      </c>
    </row>
    <row r="284" ht="17" customHeight="1" spans="1:7">
      <c r="A284" s="130" t="s">
        <v>2514</v>
      </c>
      <c r="B284" s="131" t="s">
        <v>2515</v>
      </c>
      <c r="C284" s="132">
        <f t="shared" ref="C284:G284" si="127">SUM(C285,C300,C308,C318,C324,C329,C333,C336)</f>
        <v>73021.186912</v>
      </c>
      <c r="D284" s="132">
        <f t="shared" si="127"/>
        <v>8623.045608</v>
      </c>
      <c r="E284" s="132">
        <f t="shared" si="127"/>
        <v>762.260204</v>
      </c>
      <c r="F284" s="132">
        <f t="shared" si="127"/>
        <v>48</v>
      </c>
      <c r="G284" s="132">
        <f t="shared" si="127"/>
        <v>63587.8811</v>
      </c>
    </row>
    <row r="285" ht="17" customHeight="1" spans="1:7">
      <c r="A285" s="133">
        <v>21301</v>
      </c>
      <c r="B285" s="134" t="s">
        <v>2516</v>
      </c>
      <c r="C285" s="135">
        <f t="shared" ref="C285:G285" si="128">SUM(C286:C299)</f>
        <v>35983.892467</v>
      </c>
      <c r="D285" s="135">
        <f t="shared" si="128"/>
        <v>5622.867951</v>
      </c>
      <c r="E285" s="135">
        <f t="shared" si="128"/>
        <v>468.024516</v>
      </c>
      <c r="F285" s="135">
        <f t="shared" si="128"/>
        <v>0</v>
      </c>
      <c r="G285" s="135">
        <f t="shared" si="128"/>
        <v>29893</v>
      </c>
    </row>
    <row r="286" ht="17" customHeight="1" spans="1:7">
      <c r="A286" s="133">
        <v>2130101</v>
      </c>
      <c r="B286" s="134" t="s">
        <v>2269</v>
      </c>
      <c r="C286" s="135">
        <f t="shared" ref="C286:C299" si="129">D286+E286+F286+G286</f>
        <v>1577.370385</v>
      </c>
      <c r="D286" s="135">
        <v>1415.145755</v>
      </c>
      <c r="E286" s="135">
        <v>139.72463</v>
      </c>
      <c r="F286" s="135"/>
      <c r="G286" s="135">
        <v>22.5</v>
      </c>
    </row>
    <row r="287" ht="17" customHeight="1" spans="1:7">
      <c r="A287" s="133">
        <v>2130104</v>
      </c>
      <c r="B287" s="134" t="s">
        <v>2283</v>
      </c>
      <c r="C287" s="135">
        <f t="shared" si="129"/>
        <v>5004.022082</v>
      </c>
      <c r="D287" s="135">
        <v>4207.722196</v>
      </c>
      <c r="E287" s="135">
        <v>328.299886</v>
      </c>
      <c r="F287" s="135"/>
      <c r="G287" s="135">
        <v>468</v>
      </c>
    </row>
    <row r="288" ht="17" customHeight="1" spans="1:7">
      <c r="A288" s="133">
        <v>2130105</v>
      </c>
      <c r="B288" s="134" t="s">
        <v>2517</v>
      </c>
      <c r="C288" s="135">
        <f t="shared" si="129"/>
        <v>128</v>
      </c>
      <c r="D288" s="135"/>
      <c r="E288" s="135"/>
      <c r="F288" s="135"/>
      <c r="G288" s="135">
        <v>128</v>
      </c>
    </row>
    <row r="289" ht="17" customHeight="1" spans="1:7">
      <c r="A289" s="133">
        <v>2130106</v>
      </c>
      <c r="B289" s="134" t="s">
        <v>2518</v>
      </c>
      <c r="C289" s="135">
        <f t="shared" si="129"/>
        <v>35.5</v>
      </c>
      <c r="D289" s="135"/>
      <c r="E289" s="135"/>
      <c r="F289" s="135"/>
      <c r="G289" s="135">
        <v>35.5</v>
      </c>
    </row>
    <row r="290" ht="17" customHeight="1" spans="1:7">
      <c r="A290" s="133">
        <v>2130108</v>
      </c>
      <c r="B290" s="134" t="s">
        <v>2519</v>
      </c>
      <c r="C290" s="135">
        <f t="shared" si="129"/>
        <v>23</v>
      </c>
      <c r="D290" s="135"/>
      <c r="E290" s="135"/>
      <c r="F290" s="135"/>
      <c r="G290" s="135">
        <f>436-413</f>
        <v>23</v>
      </c>
    </row>
    <row r="291" ht="17" customHeight="1" spans="1:7">
      <c r="A291" s="133">
        <v>2130109</v>
      </c>
      <c r="B291" s="134" t="s">
        <v>2520</v>
      </c>
      <c r="C291" s="135">
        <f t="shared" si="129"/>
        <v>7</v>
      </c>
      <c r="D291" s="135"/>
      <c r="E291" s="135"/>
      <c r="F291" s="135"/>
      <c r="G291" s="135">
        <f>387-380</f>
        <v>7</v>
      </c>
    </row>
    <row r="292" ht="17" customHeight="1" spans="1:7">
      <c r="A292" s="133">
        <v>2130119</v>
      </c>
      <c r="B292" s="134" t="s">
        <v>2521</v>
      </c>
      <c r="C292" s="135">
        <f t="shared" si="129"/>
        <v>18</v>
      </c>
      <c r="D292" s="135"/>
      <c r="E292" s="135"/>
      <c r="F292" s="135"/>
      <c r="G292" s="135">
        <f>72-54</f>
        <v>18</v>
      </c>
    </row>
    <row r="293" ht="17" customHeight="1" spans="1:7">
      <c r="A293" s="133">
        <v>2130120</v>
      </c>
      <c r="B293" s="134" t="s">
        <v>2522</v>
      </c>
      <c r="C293" s="135">
        <f t="shared" si="129"/>
        <v>4301</v>
      </c>
      <c r="D293" s="135"/>
      <c r="E293" s="135"/>
      <c r="F293" s="135"/>
      <c r="G293" s="135">
        <v>4301</v>
      </c>
    </row>
    <row r="294" ht="17" customHeight="1" spans="1:7">
      <c r="A294" s="133">
        <v>2130122</v>
      </c>
      <c r="B294" s="134" t="s">
        <v>2523</v>
      </c>
      <c r="C294" s="135">
        <f t="shared" si="129"/>
        <v>0</v>
      </c>
      <c r="D294" s="135"/>
      <c r="E294" s="135"/>
      <c r="F294" s="135"/>
      <c r="G294" s="135">
        <f>470-470</f>
        <v>0</v>
      </c>
    </row>
    <row r="295" ht="17" customHeight="1" spans="1:7">
      <c r="A295" s="133">
        <v>2130126</v>
      </c>
      <c r="B295" s="134" t="s">
        <v>2524</v>
      </c>
      <c r="C295" s="135">
        <f t="shared" si="129"/>
        <v>41</v>
      </c>
      <c r="D295" s="135"/>
      <c r="E295" s="135"/>
      <c r="F295" s="135"/>
      <c r="G295" s="135">
        <v>41</v>
      </c>
    </row>
    <row r="296" ht="17" customHeight="1" spans="1:7">
      <c r="A296" s="133">
        <v>2130135</v>
      </c>
      <c r="B296" s="134" t="s">
        <v>2525</v>
      </c>
      <c r="C296" s="135">
        <f t="shared" si="129"/>
        <v>0</v>
      </c>
      <c r="D296" s="135"/>
      <c r="E296" s="135"/>
      <c r="F296" s="135"/>
      <c r="G296" s="135">
        <f>480-480</f>
        <v>0</v>
      </c>
    </row>
    <row r="297" ht="17" customHeight="1" spans="1:7">
      <c r="A297" s="133">
        <v>2130142</v>
      </c>
      <c r="B297" s="134" t="s">
        <v>2526</v>
      </c>
      <c r="C297" s="135">
        <f t="shared" si="129"/>
        <v>200</v>
      </c>
      <c r="D297" s="135"/>
      <c r="E297" s="135"/>
      <c r="F297" s="135"/>
      <c r="G297" s="135">
        <v>200</v>
      </c>
    </row>
    <row r="298" ht="17" customHeight="1" spans="1:7">
      <c r="A298" s="133">
        <v>2130153</v>
      </c>
      <c r="B298" s="134" t="s">
        <v>2527</v>
      </c>
      <c r="C298" s="135">
        <f t="shared" si="129"/>
        <v>6297</v>
      </c>
      <c r="D298" s="135"/>
      <c r="E298" s="135"/>
      <c r="F298" s="135"/>
      <c r="G298" s="135">
        <v>6297</v>
      </c>
    </row>
    <row r="299" ht="17" customHeight="1" spans="1:7">
      <c r="A299" s="133">
        <v>2130199</v>
      </c>
      <c r="B299" s="134" t="s">
        <v>2528</v>
      </c>
      <c r="C299" s="135">
        <f t="shared" si="129"/>
        <v>18352</v>
      </c>
      <c r="D299" s="135"/>
      <c r="E299" s="135"/>
      <c r="F299" s="135"/>
      <c r="G299" s="135">
        <f>20408-2056</f>
        <v>18352</v>
      </c>
    </row>
    <row r="300" ht="17" customHeight="1" spans="1:7">
      <c r="A300" s="133">
        <v>21302</v>
      </c>
      <c r="B300" s="134" t="s">
        <v>2529</v>
      </c>
      <c r="C300" s="135">
        <f t="shared" ref="C300:G300" si="130">SUM(C301:C307)</f>
        <v>770.84298</v>
      </c>
      <c r="D300" s="135">
        <f t="shared" si="130"/>
        <v>244.5988</v>
      </c>
      <c r="E300" s="135">
        <f t="shared" si="130"/>
        <v>33.24418</v>
      </c>
      <c r="F300" s="135">
        <f t="shared" si="130"/>
        <v>35</v>
      </c>
      <c r="G300" s="135">
        <f t="shared" si="130"/>
        <v>458</v>
      </c>
    </row>
    <row r="301" ht="17" customHeight="1" spans="1:7">
      <c r="A301" s="133">
        <v>2130205</v>
      </c>
      <c r="B301" s="134" t="s">
        <v>2530</v>
      </c>
      <c r="C301" s="135">
        <f t="shared" ref="C301:C307" si="131">D301+E301+F301+G301</f>
        <v>0</v>
      </c>
      <c r="D301" s="135"/>
      <c r="E301" s="135"/>
      <c r="F301" s="135"/>
      <c r="G301" s="135">
        <f>835-835</f>
        <v>0</v>
      </c>
    </row>
    <row r="302" ht="17" customHeight="1" spans="1:7">
      <c r="A302" s="133">
        <v>2130207</v>
      </c>
      <c r="B302" s="134" t="s">
        <v>2531</v>
      </c>
      <c r="C302" s="135">
        <f t="shared" si="131"/>
        <v>41</v>
      </c>
      <c r="D302" s="135"/>
      <c r="E302" s="135"/>
      <c r="F302" s="135"/>
      <c r="G302" s="135">
        <v>41</v>
      </c>
    </row>
    <row r="303" ht="17" customHeight="1" spans="1:7">
      <c r="A303" s="133">
        <v>2130209</v>
      </c>
      <c r="B303" s="134" t="s">
        <v>2532</v>
      </c>
      <c r="C303" s="135">
        <f t="shared" si="131"/>
        <v>0</v>
      </c>
      <c r="D303" s="135"/>
      <c r="E303" s="135"/>
      <c r="F303" s="135"/>
      <c r="G303" s="135">
        <f>336-336</f>
        <v>0</v>
      </c>
    </row>
    <row r="304" ht="17" customHeight="1" spans="1:7">
      <c r="A304" s="133">
        <v>2130211</v>
      </c>
      <c r="B304" s="134" t="s">
        <v>2533</v>
      </c>
      <c r="C304" s="135">
        <f t="shared" si="131"/>
        <v>337</v>
      </c>
      <c r="D304" s="135"/>
      <c r="E304" s="135"/>
      <c r="F304" s="135"/>
      <c r="G304" s="135">
        <v>337</v>
      </c>
    </row>
    <row r="305" ht="17" customHeight="1" spans="1:7">
      <c r="A305" s="133">
        <v>2130212</v>
      </c>
      <c r="B305" s="134" t="s">
        <v>2534</v>
      </c>
      <c r="C305" s="135">
        <f t="shared" si="131"/>
        <v>312.84298</v>
      </c>
      <c r="D305" s="135">
        <v>244.5988</v>
      </c>
      <c r="E305" s="135">
        <v>33.24418</v>
      </c>
      <c r="F305" s="135">
        <v>35</v>
      </c>
      <c r="G305" s="135"/>
    </row>
    <row r="306" ht="17" customHeight="1" spans="1:7">
      <c r="A306" s="133">
        <v>2130234</v>
      </c>
      <c r="B306" s="134" t="s">
        <v>2535</v>
      </c>
      <c r="C306" s="135">
        <f t="shared" si="131"/>
        <v>80</v>
      </c>
      <c r="D306" s="135"/>
      <c r="E306" s="135"/>
      <c r="F306" s="135"/>
      <c r="G306" s="135">
        <v>80</v>
      </c>
    </row>
    <row r="307" ht="17" customHeight="1" spans="1:7">
      <c r="A307" s="133">
        <v>2130299</v>
      </c>
      <c r="B307" s="134" t="s">
        <v>2536</v>
      </c>
      <c r="C307" s="135">
        <f t="shared" si="131"/>
        <v>0</v>
      </c>
      <c r="D307" s="135"/>
      <c r="E307" s="135"/>
      <c r="F307" s="135"/>
      <c r="G307" s="135">
        <f>1348-1348</f>
        <v>0</v>
      </c>
    </row>
    <row r="308" ht="17" customHeight="1" spans="1:7">
      <c r="A308" s="133">
        <v>21303</v>
      </c>
      <c r="B308" s="134" t="s">
        <v>2537</v>
      </c>
      <c r="C308" s="135">
        <f t="shared" ref="C308:G308" si="132">SUM(C309:C317)</f>
        <v>4053.948903</v>
      </c>
      <c r="D308" s="135">
        <f t="shared" si="132"/>
        <v>2526.596287</v>
      </c>
      <c r="E308" s="135">
        <f t="shared" si="132"/>
        <v>235.621516</v>
      </c>
      <c r="F308" s="135">
        <f t="shared" si="132"/>
        <v>0</v>
      </c>
      <c r="G308" s="135">
        <f t="shared" si="132"/>
        <v>1291.7311</v>
      </c>
    </row>
    <row r="309" ht="17" customHeight="1" spans="1:7">
      <c r="A309" s="133">
        <v>2130301</v>
      </c>
      <c r="B309" s="134" t="s">
        <v>2269</v>
      </c>
      <c r="C309" s="135">
        <f t="shared" ref="C309:C317" si="133">D309+E309+F309+G309</f>
        <v>1670.099657</v>
      </c>
      <c r="D309" s="135">
        <v>1523.470337</v>
      </c>
      <c r="E309" s="135">
        <v>146.62932</v>
      </c>
      <c r="F309" s="135"/>
      <c r="G309" s="135"/>
    </row>
    <row r="310" ht="17" customHeight="1" spans="1:7">
      <c r="A310" s="133">
        <v>2130306</v>
      </c>
      <c r="B310" s="134" t="s">
        <v>2538</v>
      </c>
      <c r="C310" s="135">
        <f t="shared" si="133"/>
        <v>1092.118146</v>
      </c>
      <c r="D310" s="135">
        <v>1003.12595</v>
      </c>
      <c r="E310" s="135">
        <v>88.992196</v>
      </c>
      <c r="F310" s="135"/>
      <c r="G310" s="135"/>
    </row>
    <row r="311" ht="17" customHeight="1" spans="1:7">
      <c r="A311" s="133">
        <v>2130309</v>
      </c>
      <c r="B311" s="134" t="s">
        <v>2539</v>
      </c>
      <c r="C311" s="135">
        <f t="shared" si="133"/>
        <v>117</v>
      </c>
      <c r="D311" s="135"/>
      <c r="E311" s="135"/>
      <c r="F311" s="135"/>
      <c r="G311" s="135">
        <v>117</v>
      </c>
    </row>
    <row r="312" ht="17" customHeight="1" spans="1:7">
      <c r="A312" s="133">
        <v>2130310</v>
      </c>
      <c r="B312" s="134" t="s">
        <v>2540</v>
      </c>
      <c r="C312" s="135">
        <f t="shared" si="133"/>
        <v>50</v>
      </c>
      <c r="D312" s="135"/>
      <c r="E312" s="135"/>
      <c r="F312" s="135"/>
      <c r="G312" s="135">
        <v>50</v>
      </c>
    </row>
    <row r="313" ht="17" customHeight="1" spans="1:7">
      <c r="A313" s="133">
        <v>2130314</v>
      </c>
      <c r="B313" s="134" t="s">
        <v>2541</v>
      </c>
      <c r="C313" s="135">
        <f t="shared" si="133"/>
        <v>218.5</v>
      </c>
      <c r="D313" s="135"/>
      <c r="E313" s="135"/>
      <c r="F313" s="135"/>
      <c r="G313" s="135">
        <f>501.5-283</f>
        <v>218.5</v>
      </c>
    </row>
    <row r="314" ht="17" customHeight="1" spans="1:7">
      <c r="A314" s="133">
        <v>2130321</v>
      </c>
      <c r="B314" s="134" t="s">
        <v>2542</v>
      </c>
      <c r="C314" s="135">
        <f t="shared" si="133"/>
        <v>591</v>
      </c>
      <c r="D314" s="135"/>
      <c r="E314" s="135"/>
      <c r="F314" s="135"/>
      <c r="G314" s="135">
        <v>591</v>
      </c>
    </row>
    <row r="315" ht="17" customHeight="1" spans="1:7">
      <c r="A315" s="133">
        <v>2130322</v>
      </c>
      <c r="B315" s="134" t="s">
        <v>2543</v>
      </c>
      <c r="C315" s="135">
        <f t="shared" si="133"/>
        <v>5</v>
      </c>
      <c r="D315" s="135"/>
      <c r="E315" s="135"/>
      <c r="F315" s="135"/>
      <c r="G315" s="135">
        <v>5</v>
      </c>
    </row>
    <row r="316" ht="17" customHeight="1" spans="1:7">
      <c r="A316" s="133">
        <v>2130335</v>
      </c>
      <c r="B316" s="134" t="s">
        <v>2544</v>
      </c>
      <c r="C316" s="135">
        <f t="shared" si="133"/>
        <v>300</v>
      </c>
      <c r="D316" s="135"/>
      <c r="E316" s="135"/>
      <c r="F316" s="135"/>
      <c r="G316" s="135">
        <v>300</v>
      </c>
    </row>
    <row r="317" ht="17" customHeight="1" spans="1:7">
      <c r="A317" s="133">
        <v>2130399</v>
      </c>
      <c r="B317" s="134" t="s">
        <v>2545</v>
      </c>
      <c r="C317" s="135">
        <f t="shared" si="133"/>
        <v>10.2311</v>
      </c>
      <c r="D317" s="135"/>
      <c r="E317" s="135"/>
      <c r="F317" s="135"/>
      <c r="G317" s="135">
        <f>4042.2311-4032</f>
        <v>10.2311</v>
      </c>
    </row>
    <row r="318" ht="17" customHeight="1" spans="1:7">
      <c r="A318" s="133">
        <v>21305</v>
      </c>
      <c r="B318" s="134" t="s">
        <v>2546</v>
      </c>
      <c r="C318" s="135">
        <f t="shared" ref="C318:G318" si="134">SUM(C319:C323)</f>
        <v>9568.552562</v>
      </c>
      <c r="D318" s="135">
        <f t="shared" si="134"/>
        <v>228.98257</v>
      </c>
      <c r="E318" s="135">
        <f t="shared" si="134"/>
        <v>23.369992</v>
      </c>
      <c r="F318" s="135">
        <f t="shared" si="134"/>
        <v>0</v>
      </c>
      <c r="G318" s="135">
        <f t="shared" si="134"/>
        <v>9316.2</v>
      </c>
    </row>
    <row r="319" ht="17" customHeight="1" spans="1:7">
      <c r="A319" s="133">
        <v>2130501</v>
      </c>
      <c r="B319" s="134" t="s">
        <v>2269</v>
      </c>
      <c r="C319" s="135">
        <f t="shared" ref="C319:C323" si="135">D319+E319+F319+G319</f>
        <v>252.352562</v>
      </c>
      <c r="D319" s="135">
        <v>228.98257</v>
      </c>
      <c r="E319" s="135">
        <v>23.369992</v>
      </c>
      <c r="F319" s="135"/>
      <c r="G319" s="135"/>
    </row>
    <row r="320" ht="17" customHeight="1" spans="1:7">
      <c r="A320" s="133">
        <v>2130504</v>
      </c>
      <c r="B320" s="134" t="s">
        <v>2547</v>
      </c>
      <c r="C320" s="135">
        <f t="shared" si="135"/>
        <v>6000</v>
      </c>
      <c r="D320" s="135"/>
      <c r="E320" s="135"/>
      <c r="F320" s="135"/>
      <c r="G320" s="135">
        <f>8000-2000</f>
        <v>6000</v>
      </c>
    </row>
    <row r="321" ht="17" customHeight="1" spans="1:7">
      <c r="A321" s="133">
        <v>2130505</v>
      </c>
      <c r="B321" s="134" t="s">
        <v>2548</v>
      </c>
      <c r="C321" s="135">
        <f t="shared" si="135"/>
        <v>0</v>
      </c>
      <c r="D321" s="135"/>
      <c r="E321" s="135"/>
      <c r="F321" s="135"/>
      <c r="G321" s="135">
        <f>358-358</f>
        <v>0</v>
      </c>
    </row>
    <row r="322" ht="17" customHeight="1" spans="1:7">
      <c r="A322" s="133">
        <v>2130507</v>
      </c>
      <c r="B322" s="134" t="s">
        <v>2549</v>
      </c>
      <c r="C322" s="135">
        <f t="shared" si="135"/>
        <v>0</v>
      </c>
      <c r="D322" s="135"/>
      <c r="E322" s="135"/>
      <c r="F322" s="135"/>
      <c r="G322" s="135"/>
    </row>
    <row r="323" ht="17" customHeight="1" spans="1:7">
      <c r="A323" s="133">
        <v>2130599</v>
      </c>
      <c r="B323" s="134" t="s">
        <v>2550</v>
      </c>
      <c r="C323" s="135">
        <f t="shared" si="135"/>
        <v>3316.2</v>
      </c>
      <c r="D323" s="135"/>
      <c r="E323" s="135"/>
      <c r="F323" s="135"/>
      <c r="G323" s="135">
        <v>3316.2</v>
      </c>
    </row>
    <row r="324" ht="17" customHeight="1" spans="1:7">
      <c r="A324" s="133">
        <v>21307</v>
      </c>
      <c r="B324" s="134" t="s">
        <v>2551</v>
      </c>
      <c r="C324" s="135">
        <f t="shared" ref="C324:G324" si="136">SUM(C325:C328)</f>
        <v>13902.95</v>
      </c>
      <c r="D324" s="135">
        <f t="shared" si="136"/>
        <v>0</v>
      </c>
      <c r="E324" s="135">
        <f t="shared" si="136"/>
        <v>0</v>
      </c>
      <c r="F324" s="135">
        <f t="shared" si="136"/>
        <v>0</v>
      </c>
      <c r="G324" s="135">
        <f t="shared" si="136"/>
        <v>13902.95</v>
      </c>
    </row>
    <row r="325" ht="17" customHeight="1" spans="1:7">
      <c r="A325" s="133">
        <v>2130701</v>
      </c>
      <c r="B325" s="134" t="s">
        <v>2552</v>
      </c>
      <c r="C325" s="135">
        <f t="shared" ref="C325:C328" si="137">D325+E325+F325+G325</f>
        <v>1144.64</v>
      </c>
      <c r="D325" s="135"/>
      <c r="E325" s="135"/>
      <c r="F325" s="135"/>
      <c r="G325" s="135">
        <f>2701.64-1557</f>
        <v>1144.64</v>
      </c>
    </row>
    <row r="326" ht="17" customHeight="1" spans="1:7">
      <c r="A326" s="133">
        <v>2130705</v>
      </c>
      <c r="B326" s="134" t="s">
        <v>2553</v>
      </c>
      <c r="C326" s="135">
        <f t="shared" si="137"/>
        <v>9305.86</v>
      </c>
      <c r="D326" s="135"/>
      <c r="E326" s="135"/>
      <c r="F326" s="135"/>
      <c r="G326" s="135">
        <v>9305.86</v>
      </c>
    </row>
    <row r="327" ht="17" customHeight="1" spans="1:7">
      <c r="A327" s="133">
        <v>2130706</v>
      </c>
      <c r="B327" s="134" t="s">
        <v>2554</v>
      </c>
      <c r="C327" s="135">
        <f t="shared" si="137"/>
        <v>20.45</v>
      </c>
      <c r="D327" s="135"/>
      <c r="E327" s="135"/>
      <c r="F327" s="135"/>
      <c r="G327" s="135">
        <v>20.45</v>
      </c>
    </row>
    <row r="328" ht="17" customHeight="1" spans="1:7">
      <c r="A328" s="133">
        <v>2130799</v>
      </c>
      <c r="B328" s="134" t="s">
        <v>2555</v>
      </c>
      <c r="C328" s="135">
        <f t="shared" si="137"/>
        <v>3432</v>
      </c>
      <c r="D328" s="135"/>
      <c r="E328" s="135"/>
      <c r="F328" s="135"/>
      <c r="G328" s="135">
        <v>3432</v>
      </c>
    </row>
    <row r="329" ht="17" customHeight="1" spans="1:7">
      <c r="A329" s="133">
        <v>21308</v>
      </c>
      <c r="B329" s="134" t="s">
        <v>2556</v>
      </c>
      <c r="C329" s="135">
        <f t="shared" ref="C329:G329" si="138">SUM(C330:C332)</f>
        <v>4203</v>
      </c>
      <c r="D329" s="135">
        <f t="shared" si="138"/>
        <v>0</v>
      </c>
      <c r="E329" s="135">
        <f t="shared" si="138"/>
        <v>2</v>
      </c>
      <c r="F329" s="135">
        <f t="shared" si="138"/>
        <v>13</v>
      </c>
      <c r="G329" s="135">
        <f t="shared" si="138"/>
        <v>4188</v>
      </c>
    </row>
    <row r="330" ht="17" customHeight="1" spans="1:7">
      <c r="A330" s="133">
        <v>2130803</v>
      </c>
      <c r="B330" s="134" t="s">
        <v>2557</v>
      </c>
      <c r="C330" s="135">
        <f t="shared" ref="C330:C332" si="139">D330+E330+F330+G330</f>
        <v>2473</v>
      </c>
      <c r="D330" s="135"/>
      <c r="E330" s="135"/>
      <c r="F330" s="135"/>
      <c r="G330" s="135">
        <v>2473</v>
      </c>
    </row>
    <row r="331" ht="17" customHeight="1" spans="1:7">
      <c r="A331" s="133">
        <v>2130804</v>
      </c>
      <c r="B331" s="134" t="s">
        <v>2558</v>
      </c>
      <c r="C331" s="135">
        <f t="shared" si="139"/>
        <v>757</v>
      </c>
      <c r="D331" s="135"/>
      <c r="E331" s="135"/>
      <c r="F331" s="135"/>
      <c r="G331" s="135">
        <v>757</v>
      </c>
    </row>
    <row r="332" ht="17" customHeight="1" spans="1:7">
      <c r="A332" s="133">
        <v>2130899</v>
      </c>
      <c r="B332" s="134" t="s">
        <v>2559</v>
      </c>
      <c r="C332" s="135">
        <f t="shared" si="139"/>
        <v>973</v>
      </c>
      <c r="D332" s="135"/>
      <c r="E332" s="135">
        <v>2</v>
      </c>
      <c r="F332" s="135">
        <v>13</v>
      </c>
      <c r="G332" s="135">
        <v>958</v>
      </c>
    </row>
    <row r="333" ht="17" customHeight="1" spans="1:7">
      <c r="A333" s="133">
        <v>21309</v>
      </c>
      <c r="B333" s="134" t="s">
        <v>2560</v>
      </c>
      <c r="C333" s="135">
        <f t="shared" ref="C333:G333" si="140">SUM(C334:C335)</f>
        <v>1807</v>
      </c>
      <c r="D333" s="137">
        <f t="shared" si="140"/>
        <v>0</v>
      </c>
      <c r="E333" s="137">
        <f t="shared" si="140"/>
        <v>0</v>
      </c>
      <c r="F333" s="137">
        <f t="shared" si="140"/>
        <v>0</v>
      </c>
      <c r="G333" s="135">
        <f t="shared" si="140"/>
        <v>1807</v>
      </c>
    </row>
    <row r="334" ht="17" customHeight="1" spans="1:7">
      <c r="A334" s="133">
        <v>2130901</v>
      </c>
      <c r="B334" s="134" t="s">
        <v>2561</v>
      </c>
      <c r="C334" s="135">
        <f t="shared" ref="C334:C337" si="141">D334+E334+F334+G334</f>
        <v>742</v>
      </c>
      <c r="D334" s="135"/>
      <c r="E334" s="135"/>
      <c r="F334" s="135"/>
      <c r="G334" s="135">
        <v>742</v>
      </c>
    </row>
    <row r="335" ht="17" customHeight="1" spans="1:7">
      <c r="A335" s="133">
        <v>2130999</v>
      </c>
      <c r="B335" s="134" t="s">
        <v>2562</v>
      </c>
      <c r="C335" s="135">
        <f t="shared" si="141"/>
        <v>1065</v>
      </c>
      <c r="D335" s="135"/>
      <c r="E335" s="135"/>
      <c r="F335" s="135"/>
      <c r="G335" s="135">
        <v>1065</v>
      </c>
    </row>
    <row r="336" ht="17" customHeight="1" spans="1:7">
      <c r="A336" s="133">
        <v>21399</v>
      </c>
      <c r="B336" s="134" t="s">
        <v>2563</v>
      </c>
      <c r="C336" s="135">
        <f t="shared" ref="C336:G336" si="142">SUM(C337)</f>
        <v>2731</v>
      </c>
      <c r="D336" s="135">
        <f t="shared" si="142"/>
        <v>0</v>
      </c>
      <c r="E336" s="135">
        <f t="shared" si="142"/>
        <v>0</v>
      </c>
      <c r="F336" s="135">
        <f t="shared" si="142"/>
        <v>0</v>
      </c>
      <c r="G336" s="135">
        <f t="shared" si="142"/>
        <v>2731</v>
      </c>
    </row>
    <row r="337" ht="17" customHeight="1" spans="1:7">
      <c r="A337" s="133">
        <v>2139999</v>
      </c>
      <c r="B337" s="136" t="s">
        <v>2564</v>
      </c>
      <c r="C337" s="135">
        <f t="shared" si="141"/>
        <v>2731</v>
      </c>
      <c r="D337" s="135"/>
      <c r="E337" s="135"/>
      <c r="F337" s="135"/>
      <c r="G337" s="135">
        <f>2748-17</f>
        <v>2731</v>
      </c>
    </row>
    <row r="338" ht="17" customHeight="1" spans="1:7">
      <c r="A338" s="130" t="s">
        <v>2565</v>
      </c>
      <c r="B338" s="131" t="s">
        <v>2566</v>
      </c>
      <c r="C338" s="132">
        <f t="shared" ref="C338:G338" si="143">SUM(C339,C345,C347)</f>
        <v>23256.239602</v>
      </c>
      <c r="D338" s="132">
        <f t="shared" si="143"/>
        <v>5127.007187</v>
      </c>
      <c r="E338" s="132">
        <f t="shared" si="143"/>
        <v>428.162415</v>
      </c>
      <c r="F338" s="132">
        <f t="shared" si="143"/>
        <v>0</v>
      </c>
      <c r="G338" s="132">
        <f t="shared" si="143"/>
        <v>17701.07</v>
      </c>
    </row>
    <row r="339" ht="17" customHeight="1" spans="1:7">
      <c r="A339" s="133">
        <v>21401</v>
      </c>
      <c r="B339" s="134" t="s">
        <v>2567</v>
      </c>
      <c r="C339" s="135">
        <f t="shared" ref="C339:G339" si="144">SUM(C340:C344)</f>
        <v>7991.438332</v>
      </c>
      <c r="D339" s="135">
        <f t="shared" si="144"/>
        <v>4705.170734</v>
      </c>
      <c r="E339" s="135">
        <f t="shared" si="144"/>
        <v>400.197598</v>
      </c>
      <c r="F339" s="135">
        <f t="shared" si="144"/>
        <v>0</v>
      </c>
      <c r="G339" s="135">
        <f t="shared" si="144"/>
        <v>2886.07</v>
      </c>
    </row>
    <row r="340" ht="17" customHeight="1" spans="1:7">
      <c r="A340" s="133">
        <v>2140101</v>
      </c>
      <c r="B340" s="134" t="s">
        <v>2269</v>
      </c>
      <c r="C340" s="135">
        <f t="shared" ref="C340:C344" si="145">D340+E340+F340+G340</f>
        <v>653.705826</v>
      </c>
      <c r="D340" s="135">
        <v>502.004824</v>
      </c>
      <c r="E340" s="135">
        <v>53.131002</v>
      </c>
      <c r="F340" s="135"/>
      <c r="G340" s="135">
        <v>98.57</v>
      </c>
    </row>
    <row r="341" ht="17" customHeight="1" spans="1:7">
      <c r="A341" s="133">
        <v>2140104</v>
      </c>
      <c r="B341" s="134" t="s">
        <v>2568</v>
      </c>
      <c r="C341" s="135">
        <f t="shared" si="145"/>
        <v>286</v>
      </c>
      <c r="D341" s="135"/>
      <c r="E341" s="135"/>
      <c r="F341" s="135"/>
      <c r="G341" s="135">
        <v>286</v>
      </c>
    </row>
    <row r="342" ht="17" customHeight="1" spans="1:7">
      <c r="A342" s="133">
        <v>2140106</v>
      </c>
      <c r="B342" s="134" t="s">
        <v>2569</v>
      </c>
      <c r="C342" s="135">
        <f t="shared" si="145"/>
        <v>1646</v>
      </c>
      <c r="D342" s="135"/>
      <c r="E342" s="135"/>
      <c r="F342" s="135"/>
      <c r="G342" s="135">
        <v>1646</v>
      </c>
    </row>
    <row r="343" ht="17" customHeight="1" spans="1:7">
      <c r="A343" s="133">
        <v>2140112</v>
      </c>
      <c r="B343" s="134" t="s">
        <v>2570</v>
      </c>
      <c r="C343" s="135">
        <f t="shared" si="145"/>
        <v>3342.178172</v>
      </c>
      <c r="D343" s="135">
        <v>2609.88004</v>
      </c>
      <c r="E343" s="135">
        <v>162.798132</v>
      </c>
      <c r="F343" s="135"/>
      <c r="G343" s="135">
        <v>569.5</v>
      </c>
    </row>
    <row r="344" ht="17" customHeight="1" spans="1:7">
      <c r="A344" s="133">
        <v>2140199</v>
      </c>
      <c r="B344" s="134" t="s">
        <v>2571</v>
      </c>
      <c r="C344" s="135">
        <f t="shared" si="145"/>
        <v>2063.554334</v>
      </c>
      <c r="D344" s="135">
        <v>1593.28587</v>
      </c>
      <c r="E344" s="135">
        <v>184.268464</v>
      </c>
      <c r="F344" s="135"/>
      <c r="G344" s="135">
        <f>4391-4105</f>
        <v>286</v>
      </c>
    </row>
    <row r="345" ht="17" customHeight="1" spans="1:7">
      <c r="A345" s="133">
        <v>21402</v>
      </c>
      <c r="B345" s="134" t="s">
        <v>2572</v>
      </c>
      <c r="C345" s="135">
        <f t="shared" ref="C345:G345" si="146">SUM(C346)</f>
        <v>4400</v>
      </c>
      <c r="D345" s="135">
        <f t="shared" si="146"/>
        <v>0</v>
      </c>
      <c r="E345" s="135">
        <f t="shared" si="146"/>
        <v>0</v>
      </c>
      <c r="F345" s="135">
        <f t="shared" si="146"/>
        <v>0</v>
      </c>
      <c r="G345" s="135">
        <f t="shared" si="146"/>
        <v>4400</v>
      </c>
    </row>
    <row r="346" ht="17" customHeight="1" spans="1:7">
      <c r="A346" s="133">
        <v>2140299</v>
      </c>
      <c r="B346" s="134" t="s">
        <v>2573</v>
      </c>
      <c r="C346" s="135">
        <f t="shared" ref="C346:C349" si="147">D346+E346+F346+G346</f>
        <v>4400</v>
      </c>
      <c r="D346" s="135"/>
      <c r="E346" s="135"/>
      <c r="F346" s="135"/>
      <c r="G346" s="135">
        <v>4400</v>
      </c>
    </row>
    <row r="347" ht="17" customHeight="1" spans="1:7">
      <c r="A347" s="133">
        <v>21499</v>
      </c>
      <c r="B347" s="134" t="s">
        <v>2574</v>
      </c>
      <c r="C347" s="135">
        <f t="shared" ref="C347:G347" si="148">SUM(C348:C349)</f>
        <v>10864.80127</v>
      </c>
      <c r="D347" s="135">
        <f t="shared" si="148"/>
        <v>421.836453</v>
      </c>
      <c r="E347" s="135">
        <f t="shared" si="148"/>
        <v>27.964817</v>
      </c>
      <c r="F347" s="135">
        <f t="shared" si="148"/>
        <v>0</v>
      </c>
      <c r="G347" s="135">
        <f t="shared" si="148"/>
        <v>10415</v>
      </c>
    </row>
    <row r="348" ht="17" customHeight="1" spans="1:7">
      <c r="A348" s="133">
        <v>2149901</v>
      </c>
      <c r="B348" s="136" t="s">
        <v>2575</v>
      </c>
      <c r="C348" s="135">
        <f t="shared" si="147"/>
        <v>2200</v>
      </c>
      <c r="D348" s="135"/>
      <c r="E348" s="135"/>
      <c r="F348" s="135"/>
      <c r="G348" s="135">
        <f>1485-1485+1400+800</f>
        <v>2200</v>
      </c>
    </row>
    <row r="349" ht="17" customHeight="1" spans="1:7">
      <c r="A349" s="133">
        <v>2149999</v>
      </c>
      <c r="B349" s="136" t="s">
        <v>2576</v>
      </c>
      <c r="C349" s="135">
        <f t="shared" si="147"/>
        <v>8664.80127</v>
      </c>
      <c r="D349" s="135">
        <v>421.836453</v>
      </c>
      <c r="E349" s="135">
        <v>27.964817</v>
      </c>
      <c r="F349" s="135"/>
      <c r="G349" s="135">
        <v>8215</v>
      </c>
    </row>
    <row r="350" ht="17" customHeight="1" spans="1:7">
      <c r="A350" s="130" t="s">
        <v>2577</v>
      </c>
      <c r="B350" s="131" t="s">
        <v>2578</v>
      </c>
      <c r="C350" s="132">
        <f t="shared" ref="C350:G350" si="149">SUM(C351)</f>
        <v>20067.183602</v>
      </c>
      <c r="D350" s="132">
        <f t="shared" si="149"/>
        <v>1031.93267</v>
      </c>
      <c r="E350" s="132">
        <f t="shared" si="149"/>
        <v>90.750932</v>
      </c>
      <c r="F350" s="132">
        <f t="shared" si="149"/>
        <v>0</v>
      </c>
      <c r="G350" s="132">
        <f t="shared" si="149"/>
        <v>18944.5</v>
      </c>
    </row>
    <row r="351" ht="17" customHeight="1" spans="1:7">
      <c r="A351" s="133">
        <v>21508</v>
      </c>
      <c r="B351" s="134" t="s">
        <v>2579</v>
      </c>
      <c r="C351" s="135">
        <f t="shared" ref="C351:G351" si="150">SUM(C352:C354)</f>
        <v>20067.183602</v>
      </c>
      <c r="D351" s="135">
        <f t="shared" si="150"/>
        <v>1031.93267</v>
      </c>
      <c r="E351" s="135">
        <f t="shared" si="150"/>
        <v>90.750932</v>
      </c>
      <c r="F351" s="135">
        <f t="shared" si="150"/>
        <v>0</v>
      </c>
      <c r="G351" s="135">
        <f t="shared" si="150"/>
        <v>18944.5</v>
      </c>
    </row>
    <row r="352" ht="17" customHeight="1" spans="1:7">
      <c r="A352" s="133">
        <v>2150801</v>
      </c>
      <c r="B352" s="136" t="s">
        <v>2269</v>
      </c>
      <c r="C352" s="135">
        <f t="shared" ref="C352:C354" si="151">D352+E352+F352+G352</f>
        <v>588.682394</v>
      </c>
      <c r="D352" s="135">
        <v>505.984382</v>
      </c>
      <c r="E352" s="135">
        <v>52.698012</v>
      </c>
      <c r="F352" s="135"/>
      <c r="G352" s="135">
        <v>30</v>
      </c>
    </row>
    <row r="353" ht="17" customHeight="1" spans="1:7">
      <c r="A353" s="133">
        <v>2150805</v>
      </c>
      <c r="B353" s="136" t="s">
        <v>2580</v>
      </c>
      <c r="C353" s="135">
        <f t="shared" si="151"/>
        <v>1065</v>
      </c>
      <c r="D353" s="135"/>
      <c r="E353" s="135"/>
      <c r="F353" s="135"/>
      <c r="G353" s="135">
        <v>1065</v>
      </c>
    </row>
    <row r="354" ht="17" customHeight="1" spans="1:7">
      <c r="A354" s="133">
        <v>2150899</v>
      </c>
      <c r="B354" s="136" t="s">
        <v>2581</v>
      </c>
      <c r="C354" s="135">
        <f t="shared" si="151"/>
        <v>18413.501208</v>
      </c>
      <c r="D354" s="135">
        <v>525.948288</v>
      </c>
      <c r="E354" s="135">
        <v>38.05292</v>
      </c>
      <c r="F354" s="135"/>
      <c r="G354" s="135">
        <v>17849.5</v>
      </c>
    </row>
    <row r="355" ht="17" customHeight="1" spans="1:7">
      <c r="A355" s="130" t="s">
        <v>2582</v>
      </c>
      <c r="B355" s="131" t="s">
        <v>2583</v>
      </c>
      <c r="C355" s="132">
        <f t="shared" ref="C355:G355" si="152">SUM(C356)</f>
        <v>1457.63359</v>
      </c>
      <c r="D355" s="132">
        <f t="shared" si="152"/>
        <v>998.63266</v>
      </c>
      <c r="E355" s="132">
        <f t="shared" si="152"/>
        <v>111.00093</v>
      </c>
      <c r="F355" s="132">
        <f t="shared" si="152"/>
        <v>0</v>
      </c>
      <c r="G355" s="132">
        <f t="shared" si="152"/>
        <v>348</v>
      </c>
    </row>
    <row r="356" ht="17" customHeight="1" spans="1:7">
      <c r="A356" s="133">
        <v>21602</v>
      </c>
      <c r="B356" s="134" t="s">
        <v>2584</v>
      </c>
      <c r="C356" s="135">
        <f t="shared" ref="C356:G356" si="153">SUM(C357:C359)</f>
        <v>1457.63359</v>
      </c>
      <c r="D356" s="135">
        <f t="shared" si="153"/>
        <v>998.63266</v>
      </c>
      <c r="E356" s="135">
        <f t="shared" si="153"/>
        <v>111.00093</v>
      </c>
      <c r="F356" s="135">
        <f t="shared" si="153"/>
        <v>0</v>
      </c>
      <c r="G356" s="135">
        <f t="shared" si="153"/>
        <v>348</v>
      </c>
    </row>
    <row r="357" ht="17" customHeight="1" spans="1:7">
      <c r="A357" s="133">
        <v>2160201</v>
      </c>
      <c r="B357" s="136" t="s">
        <v>2269</v>
      </c>
      <c r="C357" s="135">
        <f t="shared" ref="C357:C359" si="154">D357+E357+F357+G357</f>
        <v>450.959602</v>
      </c>
      <c r="D357" s="135">
        <v>412.111768</v>
      </c>
      <c r="E357" s="135">
        <v>38.847834</v>
      </c>
      <c r="F357" s="135"/>
      <c r="G357" s="135"/>
    </row>
    <row r="358" ht="17" customHeight="1" spans="1:7">
      <c r="A358" s="133">
        <v>2160250</v>
      </c>
      <c r="B358" s="136" t="s">
        <v>2283</v>
      </c>
      <c r="C358" s="135">
        <f t="shared" si="154"/>
        <v>693.673988</v>
      </c>
      <c r="D358" s="135">
        <v>586.520892</v>
      </c>
      <c r="E358" s="135">
        <v>72.153096</v>
      </c>
      <c r="F358" s="135"/>
      <c r="G358" s="135">
        <v>35</v>
      </c>
    </row>
    <row r="359" ht="17" customHeight="1" spans="1:7">
      <c r="A359" s="133">
        <v>2160299</v>
      </c>
      <c r="B359" s="136" t="s">
        <v>2585</v>
      </c>
      <c r="C359" s="135">
        <f t="shared" si="154"/>
        <v>313</v>
      </c>
      <c r="D359" s="135"/>
      <c r="E359" s="135"/>
      <c r="F359" s="135"/>
      <c r="G359" s="135">
        <v>313</v>
      </c>
    </row>
    <row r="360" ht="17" customHeight="1" spans="1:7">
      <c r="A360" s="130" t="s">
        <v>2586</v>
      </c>
      <c r="B360" s="131" t="s">
        <v>2587</v>
      </c>
      <c r="C360" s="132">
        <f t="shared" ref="C360:G360" si="155">SUM(C361)</f>
        <v>250</v>
      </c>
      <c r="D360" s="132">
        <f t="shared" si="155"/>
        <v>0</v>
      </c>
      <c r="E360" s="132">
        <f t="shared" si="155"/>
        <v>0</v>
      </c>
      <c r="F360" s="132">
        <f t="shared" si="155"/>
        <v>0</v>
      </c>
      <c r="G360" s="132">
        <f t="shared" si="155"/>
        <v>250</v>
      </c>
    </row>
    <row r="361" ht="17" customHeight="1" spans="1:7">
      <c r="A361" s="133">
        <v>21702</v>
      </c>
      <c r="B361" s="134" t="s">
        <v>2588</v>
      </c>
      <c r="C361" s="135">
        <f t="shared" ref="C361:G361" si="156">SUM(C362)</f>
        <v>250</v>
      </c>
      <c r="D361" s="135">
        <f t="shared" si="156"/>
        <v>0</v>
      </c>
      <c r="E361" s="135">
        <f t="shared" si="156"/>
        <v>0</v>
      </c>
      <c r="F361" s="135">
        <f t="shared" si="156"/>
        <v>0</v>
      </c>
      <c r="G361" s="135">
        <f t="shared" si="156"/>
        <v>250</v>
      </c>
    </row>
    <row r="362" ht="17" customHeight="1" spans="1:7">
      <c r="A362" s="133">
        <v>2170299</v>
      </c>
      <c r="B362" s="136" t="s">
        <v>2589</v>
      </c>
      <c r="C362" s="135">
        <f>D362+E362+F362+G362</f>
        <v>250</v>
      </c>
      <c r="D362" s="135"/>
      <c r="E362" s="135"/>
      <c r="F362" s="135"/>
      <c r="G362" s="135">
        <v>250</v>
      </c>
    </row>
    <row r="363" ht="17" customHeight="1" spans="1:7">
      <c r="A363" s="130" t="s">
        <v>2590</v>
      </c>
      <c r="B363" s="131" t="s">
        <v>2104</v>
      </c>
      <c r="C363" s="132">
        <f t="shared" ref="C363:G363" si="157">SUM(C364)</f>
        <v>830</v>
      </c>
      <c r="D363" s="132">
        <f t="shared" si="157"/>
        <v>0</v>
      </c>
      <c r="E363" s="132">
        <f t="shared" si="157"/>
        <v>0</v>
      </c>
      <c r="F363" s="132">
        <f t="shared" si="157"/>
        <v>0</v>
      </c>
      <c r="G363" s="132">
        <f t="shared" si="157"/>
        <v>830</v>
      </c>
    </row>
    <row r="364" ht="17" customHeight="1" spans="1:7">
      <c r="A364" s="133">
        <v>21999</v>
      </c>
      <c r="B364" s="134" t="s">
        <v>2591</v>
      </c>
      <c r="C364" s="135">
        <f t="shared" ref="C364:G364" si="158">SUM(C365)</f>
        <v>830</v>
      </c>
      <c r="D364" s="135">
        <f t="shared" si="158"/>
        <v>0</v>
      </c>
      <c r="E364" s="135">
        <f t="shared" si="158"/>
        <v>0</v>
      </c>
      <c r="F364" s="135">
        <f t="shared" si="158"/>
        <v>0</v>
      </c>
      <c r="G364" s="135">
        <f t="shared" si="158"/>
        <v>830</v>
      </c>
    </row>
    <row r="365" ht="17" customHeight="1" spans="1:7">
      <c r="A365" s="133">
        <v>21999</v>
      </c>
      <c r="B365" s="136" t="s">
        <v>2592</v>
      </c>
      <c r="C365" s="135">
        <v>830</v>
      </c>
      <c r="D365" s="135"/>
      <c r="E365" s="135"/>
      <c r="F365" s="135"/>
      <c r="G365" s="135">
        <v>830</v>
      </c>
    </row>
    <row r="366" ht="17" customHeight="1" spans="1:7">
      <c r="A366" s="130" t="s">
        <v>2593</v>
      </c>
      <c r="B366" s="131" t="s">
        <v>2594</v>
      </c>
      <c r="C366" s="132">
        <f t="shared" ref="C366:G366" si="159">SUM(C367,C376)</f>
        <v>12496.62314</v>
      </c>
      <c r="D366" s="132">
        <f t="shared" si="159"/>
        <v>9378.267528</v>
      </c>
      <c r="E366" s="132">
        <f t="shared" si="159"/>
        <v>854.238599</v>
      </c>
      <c r="F366" s="132">
        <f t="shared" si="159"/>
        <v>0</v>
      </c>
      <c r="G366" s="132">
        <f t="shared" si="159"/>
        <v>2264.117013</v>
      </c>
    </row>
    <row r="367" ht="17" customHeight="1" spans="1:7">
      <c r="A367" s="133">
        <v>22001</v>
      </c>
      <c r="B367" s="134" t="s">
        <v>2595</v>
      </c>
      <c r="C367" s="135">
        <f t="shared" ref="C367:G367" si="160">SUM(C368:C375)</f>
        <v>12251.24997</v>
      </c>
      <c r="D367" s="135">
        <f t="shared" si="160"/>
        <v>9262.596467</v>
      </c>
      <c r="E367" s="135">
        <f t="shared" si="160"/>
        <v>836.553503</v>
      </c>
      <c r="F367" s="135">
        <f t="shared" si="160"/>
        <v>0</v>
      </c>
      <c r="G367" s="135">
        <f t="shared" si="160"/>
        <v>2152.1</v>
      </c>
    </row>
    <row r="368" ht="17" customHeight="1" spans="1:7">
      <c r="A368" s="133">
        <v>2200101</v>
      </c>
      <c r="B368" s="134" t="s">
        <v>2269</v>
      </c>
      <c r="C368" s="135">
        <f t="shared" ref="C368:C375" si="161">D368+E368+F368+G368</f>
        <v>10099.14997</v>
      </c>
      <c r="D368" s="135">
        <v>9262.596467</v>
      </c>
      <c r="E368" s="135">
        <v>836.553503</v>
      </c>
      <c r="F368" s="135"/>
      <c r="G368" s="135"/>
    </row>
    <row r="369" ht="17" customHeight="1" spans="1:7">
      <c r="A369" s="133">
        <v>2200102</v>
      </c>
      <c r="B369" s="134" t="s">
        <v>2337</v>
      </c>
      <c r="C369" s="135">
        <f t="shared" si="161"/>
        <v>180</v>
      </c>
      <c r="D369" s="135"/>
      <c r="E369" s="135"/>
      <c r="F369" s="135"/>
      <c r="G369" s="135">
        <v>180</v>
      </c>
    </row>
    <row r="370" ht="17" customHeight="1" spans="1:7">
      <c r="A370" s="133">
        <v>2200103</v>
      </c>
      <c r="B370" s="134" t="s">
        <v>2338</v>
      </c>
      <c r="C370" s="135">
        <f t="shared" si="161"/>
        <v>305</v>
      </c>
      <c r="D370" s="135"/>
      <c r="E370" s="135"/>
      <c r="F370" s="135"/>
      <c r="G370" s="135">
        <v>305</v>
      </c>
    </row>
    <row r="371" ht="17" customHeight="1" spans="1:7">
      <c r="A371" s="133">
        <v>2200104</v>
      </c>
      <c r="B371" s="134" t="s">
        <v>2596</v>
      </c>
      <c r="C371" s="135">
        <f t="shared" si="161"/>
        <v>180</v>
      </c>
      <c r="D371" s="135"/>
      <c r="E371" s="135"/>
      <c r="F371" s="135"/>
      <c r="G371" s="135">
        <v>180</v>
      </c>
    </row>
    <row r="372" ht="17" customHeight="1" spans="1:7">
      <c r="A372" s="133">
        <v>2200106</v>
      </c>
      <c r="B372" s="134" t="s">
        <v>2597</v>
      </c>
      <c r="C372" s="135">
        <f t="shared" si="161"/>
        <v>678.85</v>
      </c>
      <c r="D372" s="135"/>
      <c r="E372" s="135"/>
      <c r="F372" s="135"/>
      <c r="G372" s="135">
        <f>795.85-117</f>
        <v>678.85</v>
      </c>
    </row>
    <row r="373" ht="17" customHeight="1" spans="1:7">
      <c r="A373" s="133">
        <v>2200108</v>
      </c>
      <c r="B373" s="134" t="s">
        <v>2598</v>
      </c>
      <c r="C373" s="135">
        <f t="shared" si="161"/>
        <v>115</v>
      </c>
      <c r="D373" s="135"/>
      <c r="E373" s="135"/>
      <c r="F373" s="135"/>
      <c r="G373" s="135">
        <v>115</v>
      </c>
    </row>
    <row r="374" ht="17" customHeight="1" spans="1:7">
      <c r="A374" s="133">
        <v>2200109</v>
      </c>
      <c r="B374" s="134" t="s">
        <v>2599</v>
      </c>
      <c r="C374" s="135">
        <f t="shared" si="161"/>
        <v>463.25</v>
      </c>
      <c r="D374" s="135"/>
      <c r="E374" s="135"/>
      <c r="F374" s="135"/>
      <c r="G374" s="135">
        <v>463.25</v>
      </c>
    </row>
    <row r="375" ht="17" customHeight="1" spans="1:7">
      <c r="A375" s="133">
        <v>2200114</v>
      </c>
      <c r="B375" s="134" t="s">
        <v>2600</v>
      </c>
      <c r="C375" s="135">
        <f t="shared" si="161"/>
        <v>230</v>
      </c>
      <c r="D375" s="135"/>
      <c r="E375" s="135"/>
      <c r="F375" s="135"/>
      <c r="G375" s="135">
        <v>230</v>
      </c>
    </row>
    <row r="376" ht="17" customHeight="1" spans="1:7">
      <c r="A376" s="133">
        <v>22005</v>
      </c>
      <c r="B376" s="134" t="s">
        <v>2601</v>
      </c>
      <c r="C376" s="135">
        <f t="shared" ref="C376:G376" si="162">SUM(C377:C378)</f>
        <v>245.37317</v>
      </c>
      <c r="D376" s="135">
        <f t="shared" si="162"/>
        <v>115.671061</v>
      </c>
      <c r="E376" s="135">
        <f t="shared" si="162"/>
        <v>17.685096</v>
      </c>
      <c r="F376" s="135">
        <f t="shared" si="162"/>
        <v>0</v>
      </c>
      <c r="G376" s="135">
        <f t="shared" si="162"/>
        <v>112.017013</v>
      </c>
    </row>
    <row r="377" ht="17" customHeight="1" spans="1:7">
      <c r="A377" s="133">
        <v>2200504</v>
      </c>
      <c r="B377" s="136" t="s">
        <v>2602</v>
      </c>
      <c r="C377" s="135">
        <f t="shared" ref="C377:C385" si="163">D377+E377+F377+G377</f>
        <v>224.37317</v>
      </c>
      <c r="D377" s="135">
        <v>115.671061</v>
      </c>
      <c r="E377" s="135">
        <v>17.685096</v>
      </c>
      <c r="F377" s="135"/>
      <c r="G377" s="135">
        <v>91.017013</v>
      </c>
    </row>
    <row r="378" ht="17" customHeight="1" spans="1:7">
      <c r="A378" s="133">
        <v>2200509</v>
      </c>
      <c r="B378" s="136" t="s">
        <v>2603</v>
      </c>
      <c r="C378" s="135">
        <f t="shared" si="163"/>
        <v>21</v>
      </c>
      <c r="D378" s="135"/>
      <c r="E378" s="135"/>
      <c r="F378" s="135"/>
      <c r="G378" s="135">
        <v>21</v>
      </c>
    </row>
    <row r="379" ht="17" customHeight="1" spans="1:7">
      <c r="A379" s="130" t="s">
        <v>2604</v>
      </c>
      <c r="B379" s="131" t="s">
        <v>2605</v>
      </c>
      <c r="C379" s="132">
        <f>SUM(C380,C386)</f>
        <v>7703.4</v>
      </c>
      <c r="D379" s="132">
        <f>SUM(D380,D386)</f>
        <v>0</v>
      </c>
      <c r="E379" s="132">
        <f>SUM(E380,E386)</f>
        <v>0</v>
      </c>
      <c r="F379" s="132">
        <f>SUM(F380,F386)</f>
        <v>0</v>
      </c>
      <c r="G379" s="132">
        <f>SUM(G380,G386)</f>
        <v>7703.4</v>
      </c>
    </row>
    <row r="380" ht="17" customHeight="1" spans="1:7">
      <c r="A380" s="133">
        <v>22101</v>
      </c>
      <c r="B380" s="134" t="s">
        <v>2606</v>
      </c>
      <c r="C380" s="135">
        <f t="shared" ref="C380:G380" si="164">SUM(C381:C385)</f>
        <v>7572</v>
      </c>
      <c r="D380" s="135">
        <f t="shared" si="164"/>
        <v>0</v>
      </c>
      <c r="E380" s="135">
        <f t="shared" si="164"/>
        <v>0</v>
      </c>
      <c r="F380" s="135">
        <f t="shared" si="164"/>
        <v>0</v>
      </c>
      <c r="G380" s="135">
        <f t="shared" si="164"/>
        <v>7572</v>
      </c>
    </row>
    <row r="381" ht="17" customHeight="1" spans="1:7">
      <c r="A381" s="133">
        <v>2210103</v>
      </c>
      <c r="B381" s="134" t="s">
        <v>2607</v>
      </c>
      <c r="C381" s="135">
        <f t="shared" si="163"/>
        <v>0</v>
      </c>
      <c r="D381" s="135"/>
      <c r="E381" s="135"/>
      <c r="F381" s="135"/>
      <c r="G381" s="135">
        <f>4732-4732</f>
        <v>0</v>
      </c>
    </row>
    <row r="382" ht="17" customHeight="1" spans="1:7">
      <c r="A382" s="133">
        <v>2210105</v>
      </c>
      <c r="B382" s="134" t="s">
        <v>2608</v>
      </c>
      <c r="C382" s="135">
        <f t="shared" si="163"/>
        <v>0</v>
      </c>
      <c r="D382" s="135"/>
      <c r="E382" s="135"/>
      <c r="F382" s="135"/>
      <c r="G382" s="135">
        <f>1031-1002-29</f>
        <v>0</v>
      </c>
    </row>
    <row r="383" ht="17" customHeight="1" spans="1:7">
      <c r="A383" s="133">
        <v>2210108</v>
      </c>
      <c r="B383" s="134" t="s">
        <v>2609</v>
      </c>
      <c r="C383" s="135">
        <f t="shared" si="163"/>
        <v>5046</v>
      </c>
      <c r="D383" s="135"/>
      <c r="E383" s="135"/>
      <c r="F383" s="135"/>
      <c r="G383" s="135">
        <v>5046</v>
      </c>
    </row>
    <row r="384" ht="17" customHeight="1" spans="1:7">
      <c r="A384" s="133">
        <v>2210110</v>
      </c>
      <c r="B384" s="134" t="s">
        <v>2610</v>
      </c>
      <c r="C384" s="135">
        <f t="shared" si="163"/>
        <v>70</v>
      </c>
      <c r="D384" s="135"/>
      <c r="E384" s="135"/>
      <c r="F384" s="135"/>
      <c r="G384" s="135">
        <v>70</v>
      </c>
    </row>
    <row r="385" ht="17" customHeight="1" spans="1:7">
      <c r="A385" s="133">
        <v>2210199</v>
      </c>
      <c r="B385" s="134" t="s">
        <v>2611</v>
      </c>
      <c r="C385" s="135">
        <f t="shared" si="163"/>
        <v>2456</v>
      </c>
      <c r="D385" s="135"/>
      <c r="E385" s="135"/>
      <c r="F385" s="135"/>
      <c r="G385" s="135">
        <f>4398-1942</f>
        <v>2456</v>
      </c>
    </row>
    <row r="386" ht="17" customHeight="1" spans="1:7">
      <c r="A386" s="133">
        <v>22103</v>
      </c>
      <c r="B386" s="134" t="s">
        <v>2612</v>
      </c>
      <c r="C386" s="135">
        <f t="shared" ref="C386:G386" si="165">SUM(C387)</f>
        <v>131.4</v>
      </c>
      <c r="D386" s="135">
        <f t="shared" si="165"/>
        <v>0</v>
      </c>
      <c r="E386" s="135">
        <f t="shared" si="165"/>
        <v>0</v>
      </c>
      <c r="F386" s="135">
        <f t="shared" si="165"/>
        <v>0</v>
      </c>
      <c r="G386" s="135">
        <f t="shared" si="165"/>
        <v>131.4</v>
      </c>
    </row>
    <row r="387" ht="17" customHeight="1" spans="1:7">
      <c r="A387" s="133">
        <v>2210399</v>
      </c>
      <c r="B387" s="136" t="s">
        <v>2613</v>
      </c>
      <c r="C387" s="135">
        <f>D387+E387+F387+G387</f>
        <v>131.4</v>
      </c>
      <c r="D387" s="135"/>
      <c r="E387" s="135"/>
      <c r="F387" s="135"/>
      <c r="G387" s="135">
        <v>131.4</v>
      </c>
    </row>
    <row r="388" ht="17" customHeight="1" spans="1:7">
      <c r="A388" s="130" t="s">
        <v>2614</v>
      </c>
      <c r="B388" s="131" t="s">
        <v>2615</v>
      </c>
      <c r="C388" s="132">
        <f t="shared" ref="C388:G388" si="166">SUM(C389)</f>
        <v>889</v>
      </c>
      <c r="D388" s="132">
        <f t="shared" si="166"/>
        <v>0</v>
      </c>
      <c r="E388" s="132">
        <f t="shared" si="166"/>
        <v>0</v>
      </c>
      <c r="F388" s="132">
        <f t="shared" si="166"/>
        <v>0</v>
      </c>
      <c r="G388" s="132">
        <f t="shared" si="166"/>
        <v>889</v>
      </c>
    </row>
    <row r="389" ht="17" customHeight="1" spans="1:7">
      <c r="A389" s="133">
        <v>22201</v>
      </c>
      <c r="B389" s="134" t="s">
        <v>2616</v>
      </c>
      <c r="C389" s="135">
        <f t="shared" ref="C389:G389" si="167">SUM(C390)</f>
        <v>889</v>
      </c>
      <c r="D389" s="135">
        <f t="shared" si="167"/>
        <v>0</v>
      </c>
      <c r="E389" s="135">
        <f t="shared" si="167"/>
        <v>0</v>
      </c>
      <c r="F389" s="135">
        <f t="shared" si="167"/>
        <v>0</v>
      </c>
      <c r="G389" s="135">
        <f t="shared" si="167"/>
        <v>889</v>
      </c>
    </row>
    <row r="390" ht="17" customHeight="1" spans="1:7">
      <c r="A390" s="133">
        <v>2220199</v>
      </c>
      <c r="B390" s="136" t="s">
        <v>2617</v>
      </c>
      <c r="C390" s="135">
        <f>D390+E390+F390+G390</f>
        <v>889</v>
      </c>
      <c r="D390" s="135"/>
      <c r="E390" s="135"/>
      <c r="F390" s="135"/>
      <c r="G390" s="135">
        <f>1111-222</f>
        <v>889</v>
      </c>
    </row>
    <row r="391" ht="17" customHeight="1" spans="1:7">
      <c r="A391" s="130" t="s">
        <v>2618</v>
      </c>
      <c r="B391" s="131" t="s">
        <v>2619</v>
      </c>
      <c r="C391" s="132">
        <f t="shared" ref="C391:G391" si="168">SUM(C392,C397,C399,C401,C403,C405)</f>
        <v>4853.520927</v>
      </c>
      <c r="D391" s="132">
        <f t="shared" si="168"/>
        <v>1332.441079</v>
      </c>
      <c r="E391" s="132">
        <f t="shared" si="168"/>
        <v>180.569848</v>
      </c>
      <c r="F391" s="132">
        <f t="shared" si="168"/>
        <v>0</v>
      </c>
      <c r="G391" s="132">
        <f t="shared" si="168"/>
        <v>3340.51</v>
      </c>
    </row>
    <row r="392" ht="17" customHeight="1" spans="1:7">
      <c r="A392" s="133">
        <v>22401</v>
      </c>
      <c r="B392" s="134" t="s">
        <v>2620</v>
      </c>
      <c r="C392" s="135">
        <f t="shared" ref="C392:G392" si="169">SUM(C393:C396)</f>
        <v>2472.860927</v>
      </c>
      <c r="D392" s="135">
        <f t="shared" si="169"/>
        <v>1332.441079</v>
      </c>
      <c r="E392" s="135">
        <f t="shared" si="169"/>
        <v>180.569848</v>
      </c>
      <c r="F392" s="135">
        <f t="shared" si="169"/>
        <v>0</v>
      </c>
      <c r="G392" s="135">
        <f t="shared" si="169"/>
        <v>959.85</v>
      </c>
    </row>
    <row r="393" ht="17" customHeight="1" spans="1:7">
      <c r="A393" s="133">
        <v>2240101</v>
      </c>
      <c r="B393" s="134" t="s">
        <v>2269</v>
      </c>
      <c r="C393" s="135">
        <f t="shared" ref="C393:C396" si="170">D393+E393+F393+G393</f>
        <v>1578.010927</v>
      </c>
      <c r="D393" s="135">
        <v>1332.441079</v>
      </c>
      <c r="E393" s="135">
        <v>180.569848</v>
      </c>
      <c r="F393" s="135"/>
      <c r="G393" s="135">
        <v>65</v>
      </c>
    </row>
    <row r="394" ht="17" customHeight="1" spans="1:7">
      <c r="A394" s="133">
        <v>2240106</v>
      </c>
      <c r="B394" s="134" t="s">
        <v>2621</v>
      </c>
      <c r="C394" s="135">
        <f t="shared" si="170"/>
        <v>705.85</v>
      </c>
      <c r="D394" s="135"/>
      <c r="E394" s="135"/>
      <c r="F394" s="135"/>
      <c r="G394" s="135">
        <v>705.85</v>
      </c>
    </row>
    <row r="395" ht="17" customHeight="1" spans="1:7">
      <c r="A395" s="133">
        <v>2240109</v>
      </c>
      <c r="B395" s="134" t="s">
        <v>2622</v>
      </c>
      <c r="C395" s="135">
        <f t="shared" si="170"/>
        <v>10</v>
      </c>
      <c r="D395" s="135"/>
      <c r="E395" s="135"/>
      <c r="F395" s="135"/>
      <c r="G395" s="135">
        <v>10</v>
      </c>
    </row>
    <row r="396" ht="17" customHeight="1" spans="1:7">
      <c r="A396" s="133">
        <v>2240199</v>
      </c>
      <c r="B396" s="134" t="s">
        <v>2623</v>
      </c>
      <c r="C396" s="135">
        <f t="shared" si="170"/>
        <v>179</v>
      </c>
      <c r="D396" s="135"/>
      <c r="E396" s="135"/>
      <c r="F396" s="135"/>
      <c r="G396" s="135">
        <f>255-76</f>
        <v>179</v>
      </c>
    </row>
    <row r="397" ht="17" customHeight="1" spans="1:7">
      <c r="A397" s="133">
        <v>22402</v>
      </c>
      <c r="B397" s="134" t="s">
        <v>2624</v>
      </c>
      <c r="C397" s="135">
        <f t="shared" ref="C397:G397" si="171">SUM(C398)</f>
        <v>1998.27</v>
      </c>
      <c r="D397" s="135">
        <f t="shared" si="171"/>
        <v>0</v>
      </c>
      <c r="E397" s="135">
        <f t="shared" si="171"/>
        <v>0</v>
      </c>
      <c r="F397" s="135">
        <f t="shared" si="171"/>
        <v>0</v>
      </c>
      <c r="G397" s="135">
        <f t="shared" si="171"/>
        <v>1998.27</v>
      </c>
    </row>
    <row r="398" ht="17" customHeight="1" spans="1:7">
      <c r="A398" s="133">
        <v>2240299</v>
      </c>
      <c r="B398" s="134" t="s">
        <v>2625</v>
      </c>
      <c r="C398" s="135">
        <f t="shared" ref="C398:C402" si="172">D398+E398+F398+G398</f>
        <v>1998.27</v>
      </c>
      <c r="D398" s="135"/>
      <c r="E398" s="135"/>
      <c r="F398" s="135"/>
      <c r="G398" s="135">
        <v>1998.27</v>
      </c>
    </row>
    <row r="399" ht="17" customHeight="1" spans="1:7">
      <c r="A399" s="133">
        <v>22405</v>
      </c>
      <c r="B399" s="134" t="s">
        <v>2626</v>
      </c>
      <c r="C399" s="135">
        <f t="shared" ref="C399:G399" si="173">SUM(C400)</f>
        <v>3</v>
      </c>
      <c r="D399" s="135">
        <f t="shared" si="173"/>
        <v>0</v>
      </c>
      <c r="E399" s="135">
        <f t="shared" si="173"/>
        <v>0</v>
      </c>
      <c r="F399" s="135">
        <f t="shared" si="173"/>
        <v>0</v>
      </c>
      <c r="G399" s="135">
        <f t="shared" si="173"/>
        <v>3</v>
      </c>
    </row>
    <row r="400" ht="17" customHeight="1" spans="1:7">
      <c r="A400" s="133">
        <v>2240501</v>
      </c>
      <c r="B400" s="134" t="s">
        <v>2269</v>
      </c>
      <c r="C400" s="135">
        <f t="shared" si="172"/>
        <v>3</v>
      </c>
      <c r="D400" s="135"/>
      <c r="E400" s="135"/>
      <c r="F400" s="135"/>
      <c r="G400" s="135">
        <v>3</v>
      </c>
    </row>
    <row r="401" ht="17" customHeight="1" spans="1:7">
      <c r="A401" s="133">
        <v>22406</v>
      </c>
      <c r="B401" s="134" t="s">
        <v>2627</v>
      </c>
      <c r="C401" s="135">
        <f t="shared" ref="C401:G401" si="174">SUM(C402)</f>
        <v>204</v>
      </c>
      <c r="D401" s="135">
        <f t="shared" si="174"/>
        <v>0</v>
      </c>
      <c r="E401" s="135">
        <f t="shared" si="174"/>
        <v>0</v>
      </c>
      <c r="F401" s="135">
        <f t="shared" si="174"/>
        <v>0</v>
      </c>
      <c r="G401" s="135">
        <f t="shared" si="174"/>
        <v>204</v>
      </c>
    </row>
    <row r="402" ht="17" customHeight="1" spans="1:7">
      <c r="A402" s="133">
        <v>2240601</v>
      </c>
      <c r="B402" s="134" t="s">
        <v>2628</v>
      </c>
      <c r="C402" s="135">
        <f t="shared" si="172"/>
        <v>204</v>
      </c>
      <c r="D402" s="135"/>
      <c r="E402" s="135"/>
      <c r="F402" s="135"/>
      <c r="G402" s="135">
        <f>830-626</f>
        <v>204</v>
      </c>
    </row>
    <row r="403" ht="17" customHeight="1" spans="1:7">
      <c r="A403" s="133">
        <v>22407</v>
      </c>
      <c r="B403" s="134" t="s">
        <v>2629</v>
      </c>
      <c r="C403" s="135">
        <f t="shared" ref="C403:G403" si="175">SUM(C404)</f>
        <v>0</v>
      </c>
      <c r="D403" s="135">
        <f t="shared" si="175"/>
        <v>0</v>
      </c>
      <c r="E403" s="135">
        <f t="shared" si="175"/>
        <v>0</v>
      </c>
      <c r="F403" s="135">
        <f t="shared" si="175"/>
        <v>0</v>
      </c>
      <c r="G403" s="135">
        <f t="shared" si="175"/>
        <v>0</v>
      </c>
    </row>
    <row r="404" ht="17" customHeight="1" spans="1:7">
      <c r="A404" s="133">
        <v>2240703</v>
      </c>
      <c r="B404" s="134" t="s">
        <v>2630</v>
      </c>
      <c r="C404" s="135">
        <f>D404+E404+F404+G404</f>
        <v>0</v>
      </c>
      <c r="D404" s="135"/>
      <c r="E404" s="135"/>
      <c r="F404" s="135"/>
      <c r="G404" s="135">
        <f>100-100</f>
        <v>0</v>
      </c>
    </row>
    <row r="405" ht="17" customHeight="1" spans="1:7">
      <c r="A405" s="133">
        <v>22499</v>
      </c>
      <c r="B405" s="134" t="s">
        <v>2631</v>
      </c>
      <c r="C405" s="135">
        <f t="shared" ref="C405:G405" si="176">SUM(C406)</f>
        <v>175.39</v>
      </c>
      <c r="D405" s="135">
        <f t="shared" si="176"/>
        <v>0</v>
      </c>
      <c r="E405" s="135">
        <f t="shared" si="176"/>
        <v>0</v>
      </c>
      <c r="F405" s="135">
        <f t="shared" si="176"/>
        <v>0</v>
      </c>
      <c r="G405" s="135">
        <f t="shared" si="176"/>
        <v>175.39</v>
      </c>
    </row>
    <row r="406" ht="17" customHeight="1" spans="1:7">
      <c r="A406" s="133">
        <v>2249999</v>
      </c>
      <c r="B406" s="136" t="s">
        <v>2632</v>
      </c>
      <c r="C406" s="135">
        <f>D406+E406+F406+G406</f>
        <v>175.39</v>
      </c>
      <c r="D406" s="135"/>
      <c r="E406" s="135"/>
      <c r="F406" s="135"/>
      <c r="G406" s="135">
        <f>346.39-171</f>
        <v>175.39</v>
      </c>
    </row>
    <row r="407" ht="17" customHeight="1" spans="1:7">
      <c r="A407" s="130" t="s">
        <v>2633</v>
      </c>
      <c r="B407" s="131" t="s">
        <v>1886</v>
      </c>
      <c r="C407" s="132">
        <v>3000</v>
      </c>
      <c r="D407" s="132"/>
      <c r="E407" s="132"/>
      <c r="F407" s="132"/>
      <c r="G407" s="132">
        <v>3000</v>
      </c>
    </row>
    <row r="408" ht="17" customHeight="1" spans="1:7">
      <c r="A408" s="130" t="s">
        <v>2634</v>
      </c>
      <c r="B408" s="131" t="s">
        <v>2635</v>
      </c>
      <c r="C408" s="132">
        <f t="shared" ref="C408:G408" si="177">SUM(C409,C411)</f>
        <v>30000</v>
      </c>
      <c r="D408" s="132">
        <f t="shared" si="177"/>
        <v>0</v>
      </c>
      <c r="E408" s="132">
        <f t="shared" si="177"/>
        <v>0</v>
      </c>
      <c r="F408" s="132">
        <f t="shared" si="177"/>
        <v>0</v>
      </c>
      <c r="G408" s="132">
        <f t="shared" si="177"/>
        <v>30000</v>
      </c>
    </row>
    <row r="409" ht="17" customHeight="1" spans="1:7">
      <c r="A409" s="133">
        <v>22902</v>
      </c>
      <c r="B409" s="134" t="s">
        <v>2636</v>
      </c>
      <c r="C409" s="135">
        <f t="shared" ref="C409:G409" si="178">SUM(C410)</f>
        <v>10000</v>
      </c>
      <c r="D409" s="135">
        <f t="shared" si="178"/>
        <v>0</v>
      </c>
      <c r="E409" s="135">
        <f t="shared" si="178"/>
        <v>0</v>
      </c>
      <c r="F409" s="135">
        <f t="shared" si="178"/>
        <v>0</v>
      </c>
      <c r="G409" s="135">
        <f t="shared" si="178"/>
        <v>10000</v>
      </c>
    </row>
    <row r="410" ht="17" customHeight="1" spans="1:7">
      <c r="A410" s="133">
        <v>2290201</v>
      </c>
      <c r="B410" s="134" t="s">
        <v>2637</v>
      </c>
      <c r="C410" s="135">
        <f t="shared" ref="C410:C417" si="179">D410+E410+F410+G410</f>
        <v>10000</v>
      </c>
      <c r="D410" s="135"/>
      <c r="E410" s="135"/>
      <c r="F410" s="135"/>
      <c r="G410" s="135">
        <v>10000</v>
      </c>
    </row>
    <row r="411" ht="17" customHeight="1" spans="1:7">
      <c r="A411" s="133">
        <v>22999</v>
      </c>
      <c r="B411" s="134" t="s">
        <v>2591</v>
      </c>
      <c r="C411" s="135">
        <f t="shared" ref="C411:G411" si="180">SUM(C412)</f>
        <v>20000</v>
      </c>
      <c r="D411" s="135">
        <f t="shared" si="180"/>
        <v>0</v>
      </c>
      <c r="E411" s="135">
        <f t="shared" si="180"/>
        <v>0</v>
      </c>
      <c r="F411" s="135">
        <f t="shared" si="180"/>
        <v>0</v>
      </c>
      <c r="G411" s="135">
        <f t="shared" si="180"/>
        <v>20000</v>
      </c>
    </row>
    <row r="412" ht="16.5" spans="1:7">
      <c r="A412" s="133">
        <v>2299999</v>
      </c>
      <c r="B412" s="136" t="s">
        <v>2592</v>
      </c>
      <c r="C412" s="135">
        <f t="shared" si="179"/>
        <v>20000</v>
      </c>
      <c r="D412" s="135"/>
      <c r="E412" s="135"/>
      <c r="F412" s="135"/>
      <c r="G412" s="135">
        <f>22408-2408</f>
        <v>20000</v>
      </c>
    </row>
    <row r="413" ht="16.5" spans="1:7">
      <c r="A413" s="130" t="s">
        <v>2638</v>
      </c>
      <c r="B413" s="131" t="s">
        <v>2639</v>
      </c>
      <c r="C413" s="132">
        <f t="shared" ref="C413:G413" si="181">SUM(C414)</f>
        <v>18181</v>
      </c>
      <c r="D413" s="132">
        <f t="shared" si="181"/>
        <v>0</v>
      </c>
      <c r="E413" s="132">
        <f t="shared" si="181"/>
        <v>0</v>
      </c>
      <c r="F413" s="132">
        <f t="shared" si="181"/>
        <v>0</v>
      </c>
      <c r="G413" s="132">
        <f t="shared" si="181"/>
        <v>18181</v>
      </c>
    </row>
    <row r="414" ht="16.5" spans="1:7">
      <c r="A414" s="133">
        <v>23203</v>
      </c>
      <c r="B414" s="134" t="s">
        <v>2640</v>
      </c>
      <c r="C414" s="135">
        <f t="shared" ref="C414:G414" si="182">SUM(C415:C417)</f>
        <v>18181</v>
      </c>
      <c r="D414" s="135">
        <f t="shared" si="182"/>
        <v>0</v>
      </c>
      <c r="E414" s="135">
        <f t="shared" si="182"/>
        <v>0</v>
      </c>
      <c r="F414" s="135">
        <f t="shared" si="182"/>
        <v>0</v>
      </c>
      <c r="G414" s="135">
        <f t="shared" si="182"/>
        <v>18181</v>
      </c>
    </row>
    <row r="415" ht="16.5" spans="1:7">
      <c r="A415" s="133">
        <v>2320301</v>
      </c>
      <c r="B415" s="136" t="s">
        <v>2641</v>
      </c>
      <c r="C415" s="135">
        <f t="shared" si="179"/>
        <v>17258</v>
      </c>
      <c r="D415" s="135"/>
      <c r="E415" s="135"/>
      <c r="F415" s="135"/>
      <c r="G415" s="135">
        <v>17258</v>
      </c>
    </row>
    <row r="416" ht="16.5" spans="1:7">
      <c r="A416" s="133">
        <v>2320302</v>
      </c>
      <c r="B416" s="136" t="s">
        <v>2642</v>
      </c>
      <c r="C416" s="135">
        <f t="shared" si="179"/>
        <v>20</v>
      </c>
      <c r="D416" s="135"/>
      <c r="E416" s="135"/>
      <c r="F416" s="135"/>
      <c r="G416" s="135">
        <v>20</v>
      </c>
    </row>
    <row r="417" ht="16.5" spans="1:7">
      <c r="A417" s="133">
        <v>2320303</v>
      </c>
      <c r="B417" s="136" t="s">
        <v>2643</v>
      </c>
      <c r="C417" s="135">
        <f t="shared" si="179"/>
        <v>903</v>
      </c>
      <c r="D417" s="135"/>
      <c r="E417" s="135"/>
      <c r="F417" s="135"/>
      <c r="G417" s="135">
        <v>903</v>
      </c>
    </row>
    <row r="418" ht="16.5" spans="1:7">
      <c r="A418" s="130" t="s">
        <v>2644</v>
      </c>
      <c r="B418" s="131" t="s">
        <v>2645</v>
      </c>
      <c r="C418" s="132">
        <f t="shared" ref="C418:G418" si="183">SUM(C419)</f>
        <v>90</v>
      </c>
      <c r="D418" s="132">
        <f t="shared" si="183"/>
        <v>0</v>
      </c>
      <c r="E418" s="132">
        <f t="shared" si="183"/>
        <v>0</v>
      </c>
      <c r="F418" s="132">
        <f t="shared" si="183"/>
        <v>0</v>
      </c>
      <c r="G418" s="132">
        <f t="shared" si="183"/>
        <v>90</v>
      </c>
    </row>
    <row r="419" ht="16.5" spans="1:7">
      <c r="A419" s="133">
        <v>23303</v>
      </c>
      <c r="B419" s="134" t="s">
        <v>2646</v>
      </c>
      <c r="C419" s="135">
        <f t="shared" ref="C419:G419" si="184">SUM(C420)</f>
        <v>90</v>
      </c>
      <c r="D419" s="135">
        <f t="shared" si="184"/>
        <v>0</v>
      </c>
      <c r="E419" s="135">
        <f t="shared" si="184"/>
        <v>0</v>
      </c>
      <c r="F419" s="135">
        <f t="shared" si="184"/>
        <v>0</v>
      </c>
      <c r="G419" s="135">
        <f t="shared" si="184"/>
        <v>90</v>
      </c>
    </row>
    <row r="420" ht="16.5" spans="1:7">
      <c r="A420" s="133">
        <v>2330301</v>
      </c>
      <c r="B420" s="136" t="s">
        <v>2647</v>
      </c>
      <c r="C420" s="135">
        <f>D420+E420+F420+G420</f>
        <v>90</v>
      </c>
      <c r="D420" s="135"/>
      <c r="E420" s="135"/>
      <c r="F420" s="135"/>
      <c r="G420" s="135">
        <v>90</v>
      </c>
    </row>
  </sheetData>
  <autoFilter ref="A5:G420">
    <extLst/>
  </autoFilter>
  <mergeCells count="7">
    <mergeCell ref="A2:G2"/>
    <mergeCell ref="E4:F4"/>
    <mergeCell ref="A4:A5"/>
    <mergeCell ref="B4:B5"/>
    <mergeCell ref="C4:C5"/>
    <mergeCell ref="D4:D5"/>
    <mergeCell ref="G4:G5"/>
  </mergeCells>
  <printOptions horizontalCentered="1"/>
  <pageMargins left="0.786805555555556" right="0.511805555555556" top="0.747916666666667" bottom="0.747916666666667" header="0.313888888888889" footer="0.313888888888889"/>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outlinePr summaryBelow="0" summaryRight="0"/>
  </sheetPr>
  <dimension ref="A1:P294"/>
  <sheetViews>
    <sheetView showZeros="0" view="pageBreakPreview" zoomScaleNormal="100" workbookViewId="0">
      <pane xSplit="2" ySplit="4" topLeftCell="C5" activePane="bottomRight" state="frozen"/>
      <selection/>
      <selection pane="topRight"/>
      <selection pane="bottomLeft"/>
      <selection pane="bottomRight" activeCell="P1" sqref="P$1:P$1048576"/>
    </sheetView>
  </sheetViews>
  <sheetFormatPr defaultColWidth="9" defaultRowHeight="14.25"/>
  <cols>
    <col min="1" max="1" width="6.625" style="71" customWidth="1"/>
    <col min="2" max="2" width="23.625" style="71" customWidth="1"/>
    <col min="3" max="3" width="8" style="71" customWidth="1"/>
    <col min="4" max="4" width="8.125" style="71" customWidth="1"/>
    <col min="5" max="5" width="8.25" style="71" customWidth="1"/>
    <col min="6" max="7" width="7.875" style="71" customWidth="1"/>
    <col min="8" max="8" width="8" style="71" customWidth="1"/>
    <col min="9" max="9" width="7.125" style="71" customWidth="1"/>
    <col min="10" max="10" width="7.5" style="71" customWidth="1"/>
    <col min="11" max="11" width="7.125" style="71" customWidth="1"/>
    <col min="12" max="13" width="8.125" style="71" customWidth="1"/>
    <col min="14" max="15" width="7.125" style="71" customWidth="1"/>
    <col min="16" max="16" width="9" style="69" hidden="1" customWidth="1"/>
    <col min="17" max="16384" width="9" style="71"/>
  </cols>
  <sheetData>
    <row r="1" s="65" customFormat="1" ht="20.1" customHeight="1" spans="1:16">
      <c r="A1" s="65" t="s">
        <v>36</v>
      </c>
      <c r="P1" s="72"/>
    </row>
    <row r="2" s="66" customFormat="1" ht="30" customHeight="1" spans="1:16">
      <c r="A2" s="74" t="s">
        <v>2648</v>
      </c>
      <c r="B2" s="74"/>
      <c r="C2" s="74"/>
      <c r="D2" s="74"/>
      <c r="E2" s="74"/>
      <c r="F2" s="74"/>
      <c r="G2" s="74"/>
      <c r="H2" s="74"/>
      <c r="I2" s="74"/>
      <c r="J2" s="74"/>
      <c r="K2" s="74"/>
      <c r="L2" s="74"/>
      <c r="M2" s="74"/>
      <c r="N2" s="74"/>
      <c r="O2" s="74"/>
      <c r="P2" s="74"/>
    </row>
    <row r="3" s="67" customFormat="1" ht="20.1" customHeight="1" spans="15:16">
      <c r="O3" s="93" t="s">
        <v>45</v>
      </c>
      <c r="P3" s="75"/>
    </row>
    <row r="4" s="68" customFormat="1" ht="60" customHeight="1" spans="1:16">
      <c r="A4" s="77" t="s">
        <v>560</v>
      </c>
      <c r="B4" s="103" t="s">
        <v>2183</v>
      </c>
      <c r="C4" s="103" t="s">
        <v>183</v>
      </c>
      <c r="D4" s="104" t="s">
        <v>2649</v>
      </c>
      <c r="E4" s="104" t="s">
        <v>2650</v>
      </c>
      <c r="F4" s="104" t="s">
        <v>2651</v>
      </c>
      <c r="G4" s="104" t="s">
        <v>2652</v>
      </c>
      <c r="H4" s="104" t="s">
        <v>2653</v>
      </c>
      <c r="I4" s="104" t="s">
        <v>2654</v>
      </c>
      <c r="J4" s="104" t="s">
        <v>2655</v>
      </c>
      <c r="K4" s="104" t="s">
        <v>2656</v>
      </c>
      <c r="L4" s="104" t="s">
        <v>2657</v>
      </c>
      <c r="M4" s="104" t="s">
        <v>2658</v>
      </c>
      <c r="N4" s="104" t="s">
        <v>2659</v>
      </c>
      <c r="O4" s="104" t="s">
        <v>2660</v>
      </c>
      <c r="P4" s="68" t="s">
        <v>577</v>
      </c>
    </row>
    <row r="5" ht="17" customHeight="1" spans="1:16">
      <c r="A5" s="81"/>
      <c r="B5" s="82" t="s">
        <v>562</v>
      </c>
      <c r="C5" s="83">
        <f t="shared" ref="C5:O5" si="0">SUM(C6,C32,C49,C85,C104,C109,C118,C186,C190,C279,C293,C294)</f>
        <v>736849.068646</v>
      </c>
      <c r="D5" s="83">
        <f t="shared" si="0"/>
        <v>106118.737175</v>
      </c>
      <c r="E5" s="83">
        <f t="shared" si="0"/>
        <v>187799.05979</v>
      </c>
      <c r="F5" s="83">
        <f t="shared" si="0"/>
        <v>56840.3448</v>
      </c>
      <c r="G5" s="83">
        <f t="shared" si="0"/>
        <v>0</v>
      </c>
      <c r="H5" s="83">
        <f t="shared" si="0"/>
        <v>201794.951273</v>
      </c>
      <c r="I5" s="83">
        <f t="shared" si="0"/>
        <v>14708.042904</v>
      </c>
      <c r="J5" s="83">
        <f t="shared" si="0"/>
        <v>52699</v>
      </c>
      <c r="K5" s="83">
        <f t="shared" si="0"/>
        <v>59783.722704</v>
      </c>
      <c r="L5" s="83">
        <f t="shared" si="0"/>
        <v>36974</v>
      </c>
      <c r="M5" s="83">
        <f t="shared" si="0"/>
        <v>18271</v>
      </c>
      <c r="N5" s="83">
        <f t="shared" si="0"/>
        <v>0</v>
      </c>
      <c r="O5" s="83">
        <f t="shared" si="0"/>
        <v>1860.21</v>
      </c>
      <c r="P5" s="94" t="s">
        <v>578</v>
      </c>
    </row>
    <row r="6" ht="17" customHeight="1" spans="1:16">
      <c r="A6" s="81"/>
      <c r="B6" s="105" t="s">
        <v>579</v>
      </c>
      <c r="C6" s="102">
        <f t="shared" ref="C6:O6" si="1">SUM(C7:C31)</f>
        <v>63804.526597</v>
      </c>
      <c r="D6" s="102">
        <f t="shared" si="1"/>
        <v>38482.632077</v>
      </c>
      <c r="E6" s="102">
        <f t="shared" si="1"/>
        <v>17104.694432</v>
      </c>
      <c r="F6" s="102">
        <f t="shared" si="1"/>
        <v>250.05</v>
      </c>
      <c r="G6" s="102">
        <f t="shared" si="1"/>
        <v>0</v>
      </c>
      <c r="H6" s="102">
        <f t="shared" si="1"/>
        <v>4938.122882</v>
      </c>
      <c r="I6" s="102">
        <f t="shared" si="1"/>
        <v>2</v>
      </c>
      <c r="J6" s="102">
        <f t="shared" si="1"/>
        <v>0</v>
      </c>
      <c r="K6" s="102">
        <f t="shared" si="1"/>
        <v>3027.027206</v>
      </c>
      <c r="L6" s="102">
        <f t="shared" si="1"/>
        <v>0</v>
      </c>
      <c r="M6" s="102">
        <f t="shared" si="1"/>
        <v>0</v>
      </c>
      <c r="N6" s="102">
        <f t="shared" si="1"/>
        <v>0</v>
      </c>
      <c r="O6" s="102">
        <f t="shared" si="1"/>
        <v>0</v>
      </c>
      <c r="P6" s="94" t="s">
        <v>578</v>
      </c>
    </row>
    <row r="7" ht="17" customHeight="1" spans="1:16">
      <c r="A7" s="394" t="s">
        <v>580</v>
      </c>
      <c r="B7" s="90" t="s">
        <v>1166</v>
      </c>
      <c r="C7" s="106">
        <f t="shared" ref="C7:C31" si="2">SUM(D7:O7)</f>
        <v>1709.995075</v>
      </c>
      <c r="D7" s="106">
        <v>1175.048693</v>
      </c>
      <c r="E7" s="106">
        <v>383.000686</v>
      </c>
      <c r="F7" s="106">
        <v>13</v>
      </c>
      <c r="G7" s="106"/>
      <c r="H7" s="106">
        <v>38.1417</v>
      </c>
      <c r="I7" s="106"/>
      <c r="J7" s="106"/>
      <c r="K7" s="106">
        <v>100.803996</v>
      </c>
      <c r="L7" s="106"/>
      <c r="M7" s="106"/>
      <c r="N7" s="106"/>
      <c r="O7" s="106"/>
      <c r="P7" s="94" t="s">
        <v>578</v>
      </c>
    </row>
    <row r="8" ht="17" customHeight="1" spans="1:16">
      <c r="A8" s="394" t="s">
        <v>582</v>
      </c>
      <c r="B8" s="90" t="s">
        <v>1172</v>
      </c>
      <c r="C8" s="106">
        <f t="shared" si="2"/>
        <v>333.845111</v>
      </c>
      <c r="D8" s="106">
        <v>194.535374</v>
      </c>
      <c r="E8" s="106">
        <v>116.46852</v>
      </c>
      <c r="F8" s="106">
        <v>1.5</v>
      </c>
      <c r="G8" s="106"/>
      <c r="H8" s="106">
        <v>18.0228</v>
      </c>
      <c r="I8" s="106"/>
      <c r="J8" s="106"/>
      <c r="K8" s="106">
        <v>3.318417</v>
      </c>
      <c r="L8" s="106"/>
      <c r="M8" s="106"/>
      <c r="N8" s="106"/>
      <c r="O8" s="106"/>
      <c r="P8" s="94" t="s">
        <v>578</v>
      </c>
    </row>
    <row r="9" ht="17" customHeight="1" spans="1:16">
      <c r="A9" s="394" t="s">
        <v>584</v>
      </c>
      <c r="B9" s="90" t="s">
        <v>585</v>
      </c>
      <c r="C9" s="106">
        <f t="shared" si="2"/>
        <v>726.0495</v>
      </c>
      <c r="D9" s="106">
        <v>348.931398</v>
      </c>
      <c r="E9" s="106">
        <v>336.270282</v>
      </c>
      <c r="F9" s="106"/>
      <c r="G9" s="106"/>
      <c r="H9" s="106">
        <v>27.246</v>
      </c>
      <c r="I9" s="106"/>
      <c r="J9" s="106"/>
      <c r="K9" s="106">
        <v>13.60182</v>
      </c>
      <c r="L9" s="106"/>
      <c r="M9" s="106"/>
      <c r="N9" s="106"/>
      <c r="O9" s="106"/>
      <c r="P9" s="69" t="s">
        <v>578</v>
      </c>
    </row>
    <row r="10" ht="17" customHeight="1" spans="1:16">
      <c r="A10" s="394" t="s">
        <v>586</v>
      </c>
      <c r="B10" s="90" t="s">
        <v>1179</v>
      </c>
      <c r="C10" s="106">
        <f t="shared" si="2"/>
        <v>1537.370348</v>
      </c>
      <c r="D10" s="106">
        <v>998.593449</v>
      </c>
      <c r="E10" s="106">
        <v>413.665028</v>
      </c>
      <c r="F10" s="106">
        <v>1</v>
      </c>
      <c r="G10" s="106"/>
      <c r="H10" s="106">
        <v>47.909508</v>
      </c>
      <c r="I10" s="106"/>
      <c r="J10" s="106"/>
      <c r="K10" s="106">
        <v>76.202363</v>
      </c>
      <c r="L10" s="106"/>
      <c r="M10" s="106"/>
      <c r="N10" s="106"/>
      <c r="O10" s="106"/>
      <c r="P10" s="69" t="s">
        <v>578</v>
      </c>
    </row>
    <row r="11" ht="17" customHeight="1" spans="1:16">
      <c r="A11" s="89" t="s">
        <v>588</v>
      </c>
      <c r="B11" s="90" t="s">
        <v>2189</v>
      </c>
      <c r="C11" s="106">
        <f t="shared" si="2"/>
        <v>1300</v>
      </c>
      <c r="D11" s="106"/>
      <c r="E11" s="106"/>
      <c r="F11" s="106"/>
      <c r="G11" s="106"/>
      <c r="H11" s="106">
        <v>1300</v>
      </c>
      <c r="I11" s="106"/>
      <c r="J11" s="106"/>
      <c r="K11" s="106"/>
      <c r="L11" s="106"/>
      <c r="M11" s="106"/>
      <c r="N11" s="106"/>
      <c r="O11" s="106"/>
      <c r="P11" s="69" t="s">
        <v>578</v>
      </c>
    </row>
    <row r="12" ht="17" customHeight="1" spans="1:16">
      <c r="A12" s="394" t="s">
        <v>590</v>
      </c>
      <c r="B12" s="90" t="s">
        <v>1191</v>
      </c>
      <c r="C12" s="106">
        <f t="shared" si="2"/>
        <v>1260.567476</v>
      </c>
      <c r="D12" s="106">
        <v>628.18613</v>
      </c>
      <c r="E12" s="106">
        <v>540.702186</v>
      </c>
      <c r="F12" s="106">
        <v>6</v>
      </c>
      <c r="G12" s="106"/>
      <c r="H12" s="106">
        <v>43.6653</v>
      </c>
      <c r="I12" s="106"/>
      <c r="J12" s="106"/>
      <c r="K12" s="106">
        <v>42.01386</v>
      </c>
      <c r="L12" s="106"/>
      <c r="M12" s="106"/>
      <c r="N12" s="106"/>
      <c r="O12" s="106"/>
      <c r="P12" s="69" t="s">
        <v>578</v>
      </c>
    </row>
    <row r="13" ht="17" customHeight="1" spans="1:16">
      <c r="A13" s="394" t="s">
        <v>592</v>
      </c>
      <c r="B13" s="90" t="s">
        <v>593</v>
      </c>
      <c r="C13" s="106">
        <f t="shared" si="2"/>
        <v>590.908752</v>
      </c>
      <c r="D13" s="106">
        <v>212.40093</v>
      </c>
      <c r="E13" s="106">
        <v>335.083682</v>
      </c>
      <c r="F13" s="106">
        <v>1</v>
      </c>
      <c r="G13" s="106"/>
      <c r="H13" s="106">
        <v>9.1428</v>
      </c>
      <c r="I13" s="106"/>
      <c r="J13" s="106"/>
      <c r="K13" s="106">
        <v>33.28134</v>
      </c>
      <c r="L13" s="106"/>
      <c r="M13" s="106"/>
      <c r="N13" s="106"/>
      <c r="O13" s="106"/>
      <c r="P13" s="69" t="s">
        <v>578</v>
      </c>
    </row>
    <row r="14" ht="17" customHeight="1" spans="1:16">
      <c r="A14" s="394" t="s">
        <v>594</v>
      </c>
      <c r="B14" s="90" t="s">
        <v>595</v>
      </c>
      <c r="C14" s="106">
        <f t="shared" si="2"/>
        <v>219.618913</v>
      </c>
      <c r="D14" s="106">
        <v>120.43031</v>
      </c>
      <c r="E14" s="106">
        <v>99.188603</v>
      </c>
      <c r="F14" s="106"/>
      <c r="G14" s="106"/>
      <c r="H14" s="106"/>
      <c r="I14" s="106"/>
      <c r="J14" s="106"/>
      <c r="K14" s="106"/>
      <c r="L14" s="106"/>
      <c r="M14" s="106"/>
      <c r="N14" s="106"/>
      <c r="O14" s="106"/>
      <c r="P14" s="69" t="s">
        <v>578</v>
      </c>
    </row>
    <row r="15" ht="17" customHeight="1" spans="1:16">
      <c r="A15" s="394" t="s">
        <v>596</v>
      </c>
      <c r="B15" s="90" t="s">
        <v>597</v>
      </c>
      <c r="C15" s="106">
        <f t="shared" si="2"/>
        <v>348.378805</v>
      </c>
      <c r="D15" s="106">
        <v>171.518245</v>
      </c>
      <c r="E15" s="106">
        <v>170.92056</v>
      </c>
      <c r="F15" s="106"/>
      <c r="G15" s="106"/>
      <c r="H15" s="106">
        <v>5.94</v>
      </c>
      <c r="I15" s="106"/>
      <c r="J15" s="106"/>
      <c r="K15" s="106"/>
      <c r="L15" s="106"/>
      <c r="M15" s="106"/>
      <c r="N15" s="106"/>
      <c r="O15" s="106"/>
      <c r="P15" s="69" t="s">
        <v>578</v>
      </c>
    </row>
    <row r="16" ht="17" customHeight="1" spans="1:16">
      <c r="A16" s="394" t="s">
        <v>598</v>
      </c>
      <c r="B16" s="90" t="s">
        <v>599</v>
      </c>
      <c r="C16" s="106">
        <f t="shared" si="2"/>
        <v>1866.599779</v>
      </c>
      <c r="D16" s="106">
        <v>955.045135</v>
      </c>
      <c r="E16" s="106">
        <v>594.366586</v>
      </c>
      <c r="F16" s="106">
        <v>2</v>
      </c>
      <c r="G16" s="106"/>
      <c r="H16" s="106">
        <v>29.6244</v>
      </c>
      <c r="I16" s="106"/>
      <c r="J16" s="106"/>
      <c r="K16" s="106">
        <v>285.563658</v>
      </c>
      <c r="L16" s="106"/>
      <c r="M16" s="106"/>
      <c r="N16" s="106"/>
      <c r="O16" s="106"/>
      <c r="P16" s="69" t="s">
        <v>578</v>
      </c>
    </row>
    <row r="17" ht="17" customHeight="1" spans="1:16">
      <c r="A17" s="394" t="s">
        <v>600</v>
      </c>
      <c r="B17" s="90" t="s">
        <v>601</v>
      </c>
      <c r="C17" s="106">
        <f t="shared" si="2"/>
        <v>1513.812553</v>
      </c>
      <c r="D17" s="106">
        <v>702.780283</v>
      </c>
      <c r="E17" s="106">
        <v>545.651562</v>
      </c>
      <c r="F17" s="106"/>
      <c r="G17" s="106"/>
      <c r="H17" s="106">
        <v>33.586008</v>
      </c>
      <c r="I17" s="106"/>
      <c r="J17" s="106"/>
      <c r="K17" s="106">
        <v>231.7947</v>
      </c>
      <c r="L17" s="106"/>
      <c r="M17" s="106"/>
      <c r="N17" s="106"/>
      <c r="O17" s="106"/>
      <c r="P17" s="69" t="s">
        <v>578</v>
      </c>
    </row>
    <row r="18" ht="17" customHeight="1" spans="1:16">
      <c r="A18" s="394" t="s">
        <v>1043</v>
      </c>
      <c r="B18" s="90" t="s">
        <v>603</v>
      </c>
      <c r="C18" s="106">
        <f t="shared" si="2"/>
        <v>2594.314383</v>
      </c>
      <c r="D18" s="106">
        <v>1821.496632</v>
      </c>
      <c r="E18" s="106">
        <v>446.342973</v>
      </c>
      <c r="F18" s="106">
        <v>21</v>
      </c>
      <c r="G18" s="106"/>
      <c r="H18" s="106">
        <v>128.861448</v>
      </c>
      <c r="I18" s="106"/>
      <c r="J18" s="106"/>
      <c r="K18" s="106">
        <v>176.61333</v>
      </c>
      <c r="L18" s="106"/>
      <c r="M18" s="106"/>
      <c r="N18" s="106"/>
      <c r="O18" s="106"/>
      <c r="P18" s="69" t="s">
        <v>578</v>
      </c>
    </row>
    <row r="19" ht="17" customHeight="1" spans="1:16">
      <c r="A19" s="394" t="s">
        <v>604</v>
      </c>
      <c r="B19" s="90" t="s">
        <v>605</v>
      </c>
      <c r="C19" s="106">
        <f t="shared" si="2"/>
        <v>1882.367963</v>
      </c>
      <c r="D19" s="106"/>
      <c r="E19" s="106"/>
      <c r="F19" s="106"/>
      <c r="G19" s="106"/>
      <c r="H19" s="106">
        <v>1879.354463</v>
      </c>
      <c r="I19" s="106"/>
      <c r="J19" s="106"/>
      <c r="K19" s="106">
        <v>3.0135</v>
      </c>
      <c r="L19" s="106"/>
      <c r="M19" s="106"/>
      <c r="N19" s="106"/>
      <c r="O19" s="106"/>
      <c r="P19" s="69" t="s">
        <v>578</v>
      </c>
    </row>
    <row r="20" ht="17" customHeight="1" spans="1:16">
      <c r="A20" s="394" t="s">
        <v>606</v>
      </c>
      <c r="B20" s="90" t="s">
        <v>1228</v>
      </c>
      <c r="C20" s="106">
        <f t="shared" si="2"/>
        <v>328.833714</v>
      </c>
      <c r="D20" s="106">
        <v>249.492561</v>
      </c>
      <c r="E20" s="106">
        <v>51.593473</v>
      </c>
      <c r="F20" s="106">
        <v>2</v>
      </c>
      <c r="G20" s="106"/>
      <c r="H20" s="106">
        <v>19.7748</v>
      </c>
      <c r="I20" s="106"/>
      <c r="J20" s="106"/>
      <c r="K20" s="106">
        <v>5.97288</v>
      </c>
      <c r="L20" s="106"/>
      <c r="M20" s="106"/>
      <c r="N20" s="106"/>
      <c r="O20" s="106"/>
      <c r="P20" s="69" t="s">
        <v>578</v>
      </c>
    </row>
    <row r="21" ht="17" customHeight="1" spans="1:16">
      <c r="A21" s="394" t="s">
        <v>608</v>
      </c>
      <c r="B21" s="90" t="s">
        <v>609</v>
      </c>
      <c r="C21" s="106">
        <f t="shared" si="2"/>
        <v>1251.007822</v>
      </c>
      <c r="D21" s="106">
        <v>413.223466</v>
      </c>
      <c r="E21" s="106">
        <v>775.366846</v>
      </c>
      <c r="F21" s="106">
        <v>0.2</v>
      </c>
      <c r="G21" s="106"/>
      <c r="H21" s="106">
        <v>29.5284</v>
      </c>
      <c r="I21" s="106"/>
      <c r="J21" s="106"/>
      <c r="K21" s="106">
        <v>32.68911</v>
      </c>
      <c r="L21" s="106"/>
      <c r="M21" s="106"/>
      <c r="N21" s="106"/>
      <c r="O21" s="106"/>
      <c r="P21" s="69" t="s">
        <v>578</v>
      </c>
    </row>
    <row r="22" ht="17" customHeight="1" spans="1:16">
      <c r="A22" s="394" t="s">
        <v>610</v>
      </c>
      <c r="B22" s="90" t="s">
        <v>611</v>
      </c>
      <c r="C22" s="106">
        <f t="shared" si="2"/>
        <v>1408.005727</v>
      </c>
      <c r="D22" s="106">
        <v>644.671009</v>
      </c>
      <c r="E22" s="106">
        <v>654.029454</v>
      </c>
      <c r="F22" s="106">
        <v>3.45</v>
      </c>
      <c r="G22" s="106"/>
      <c r="H22" s="106">
        <v>27.012</v>
      </c>
      <c r="I22" s="106"/>
      <c r="J22" s="106"/>
      <c r="K22" s="106">
        <v>78.843264</v>
      </c>
      <c r="L22" s="106"/>
      <c r="M22" s="106"/>
      <c r="N22" s="106"/>
      <c r="O22" s="106"/>
      <c r="P22" s="69" t="s">
        <v>578</v>
      </c>
    </row>
    <row r="23" ht="17" customHeight="1" spans="1:16">
      <c r="A23" s="394" t="s">
        <v>612</v>
      </c>
      <c r="B23" s="90" t="s">
        <v>613</v>
      </c>
      <c r="C23" s="106">
        <f t="shared" si="2"/>
        <v>4165.435745</v>
      </c>
      <c r="D23" s="106">
        <v>2388.072333</v>
      </c>
      <c r="E23" s="106">
        <v>1300.716358</v>
      </c>
      <c r="F23" s="106">
        <v>70</v>
      </c>
      <c r="G23" s="106"/>
      <c r="H23" s="106">
        <v>100.888884</v>
      </c>
      <c r="I23" s="106"/>
      <c r="J23" s="106"/>
      <c r="K23" s="106">
        <v>305.75817</v>
      </c>
      <c r="L23" s="106"/>
      <c r="M23" s="106"/>
      <c r="N23" s="106"/>
      <c r="O23" s="106"/>
      <c r="P23" s="69" t="s">
        <v>578</v>
      </c>
    </row>
    <row r="24" ht="17" customHeight="1" spans="1:16">
      <c r="A24" s="394" t="s">
        <v>614</v>
      </c>
      <c r="B24" s="90" t="s">
        <v>615</v>
      </c>
      <c r="C24" s="106">
        <f t="shared" si="2"/>
        <v>25680.80942</v>
      </c>
      <c r="D24" s="106">
        <v>17902.830949</v>
      </c>
      <c r="E24" s="106">
        <v>6850.751047</v>
      </c>
      <c r="F24" s="106">
        <v>60</v>
      </c>
      <c r="G24" s="106"/>
      <c r="H24" s="106">
        <v>69.9732</v>
      </c>
      <c r="I24" s="106"/>
      <c r="J24" s="106"/>
      <c r="K24" s="106">
        <v>797.254224</v>
      </c>
      <c r="L24" s="106"/>
      <c r="M24" s="106"/>
      <c r="N24" s="106"/>
      <c r="O24" s="106"/>
      <c r="P24" s="69" t="s">
        <v>578</v>
      </c>
    </row>
    <row r="25" ht="17" customHeight="1" spans="1:16">
      <c r="A25" s="394" t="s">
        <v>616</v>
      </c>
      <c r="B25" s="90" t="s">
        <v>617</v>
      </c>
      <c r="C25" s="106">
        <f t="shared" si="2"/>
        <v>2386.039149</v>
      </c>
      <c r="D25" s="106">
        <v>1562.123807</v>
      </c>
      <c r="E25" s="106">
        <v>594.718982</v>
      </c>
      <c r="F25" s="106">
        <v>18.5</v>
      </c>
      <c r="G25" s="106"/>
      <c r="H25" s="106">
        <v>54.8628</v>
      </c>
      <c r="I25" s="106"/>
      <c r="J25" s="106"/>
      <c r="K25" s="106">
        <v>155.83356</v>
      </c>
      <c r="L25" s="106"/>
      <c r="M25" s="106"/>
      <c r="N25" s="106"/>
      <c r="O25" s="106"/>
      <c r="P25" s="69" t="s">
        <v>578</v>
      </c>
    </row>
    <row r="26" ht="17" customHeight="1" spans="1:16">
      <c r="A26" s="394" t="s">
        <v>618</v>
      </c>
      <c r="B26" s="90" t="s">
        <v>2190</v>
      </c>
      <c r="C26" s="106">
        <f t="shared" si="2"/>
        <v>576.564334</v>
      </c>
      <c r="D26" s="106">
        <v>356.86392</v>
      </c>
      <c r="E26" s="106">
        <v>172.361884</v>
      </c>
      <c r="F26" s="106">
        <v>2.4</v>
      </c>
      <c r="G26" s="106"/>
      <c r="H26" s="106">
        <v>15.996</v>
      </c>
      <c r="I26" s="106"/>
      <c r="J26" s="106"/>
      <c r="K26" s="106">
        <v>28.94253</v>
      </c>
      <c r="L26" s="106"/>
      <c r="M26" s="106"/>
      <c r="N26" s="106"/>
      <c r="O26" s="106"/>
      <c r="P26" s="69" t="s">
        <v>578</v>
      </c>
    </row>
    <row r="27" ht="17" customHeight="1" spans="1:16">
      <c r="A27" s="394" t="s">
        <v>620</v>
      </c>
      <c r="B27" s="90" t="s">
        <v>1267</v>
      </c>
      <c r="C27" s="106">
        <f t="shared" si="2"/>
        <v>4092.406214</v>
      </c>
      <c r="D27" s="106">
        <v>2514.444778</v>
      </c>
      <c r="E27" s="106">
        <v>1462.376482</v>
      </c>
      <c r="F27" s="106"/>
      <c r="G27" s="106"/>
      <c r="H27" s="106">
        <v>67.0692</v>
      </c>
      <c r="I27" s="106"/>
      <c r="J27" s="106"/>
      <c r="K27" s="106">
        <v>48.515754</v>
      </c>
      <c r="L27" s="106"/>
      <c r="M27" s="106"/>
      <c r="N27" s="106"/>
      <c r="O27" s="106"/>
      <c r="P27" s="69" t="s">
        <v>578</v>
      </c>
    </row>
    <row r="28" ht="17" customHeight="1" spans="1:16">
      <c r="A28" s="394" t="s">
        <v>622</v>
      </c>
      <c r="B28" s="90" t="s">
        <v>1275</v>
      </c>
      <c r="C28" s="106">
        <f t="shared" si="2"/>
        <v>523.254971</v>
      </c>
      <c r="D28" s="106">
        <v>300.470469</v>
      </c>
      <c r="E28" s="106">
        <v>202.235702</v>
      </c>
      <c r="F28" s="106"/>
      <c r="G28" s="106"/>
      <c r="H28" s="106">
        <v>20.3184</v>
      </c>
      <c r="I28" s="106"/>
      <c r="J28" s="106"/>
      <c r="K28" s="106">
        <v>0.2304</v>
      </c>
      <c r="L28" s="106"/>
      <c r="M28" s="106"/>
      <c r="N28" s="106"/>
      <c r="O28" s="106"/>
      <c r="P28" s="69" t="s">
        <v>578</v>
      </c>
    </row>
    <row r="29" ht="17" customHeight="1" spans="1:16">
      <c r="A29" s="394" t="s">
        <v>624</v>
      </c>
      <c r="B29" s="90" t="s">
        <v>625</v>
      </c>
      <c r="C29" s="106">
        <f t="shared" si="2"/>
        <v>6532.22085</v>
      </c>
      <c r="D29" s="106">
        <v>4747.554594</v>
      </c>
      <c r="E29" s="106">
        <v>978.883536</v>
      </c>
      <c r="F29" s="106">
        <v>48</v>
      </c>
      <c r="G29" s="106"/>
      <c r="H29" s="106">
        <v>262.7052</v>
      </c>
      <c r="I29" s="106"/>
      <c r="J29" s="106"/>
      <c r="K29" s="106">
        <v>495.07752</v>
      </c>
      <c r="L29" s="106"/>
      <c r="M29" s="106"/>
      <c r="N29" s="106"/>
      <c r="O29" s="106"/>
      <c r="P29" s="69" t="s">
        <v>578</v>
      </c>
    </row>
    <row r="30" ht="17" customHeight="1" spans="1:16">
      <c r="A30" s="394" t="s">
        <v>626</v>
      </c>
      <c r="B30" s="90" t="s">
        <v>627</v>
      </c>
      <c r="C30" s="106">
        <f t="shared" si="2"/>
        <v>767.547181</v>
      </c>
      <c r="D30" s="106"/>
      <c r="E30" s="106"/>
      <c r="F30" s="106"/>
      <c r="G30" s="106"/>
      <c r="H30" s="106">
        <v>708.499571</v>
      </c>
      <c r="I30" s="106">
        <v>2</v>
      </c>
      <c r="J30" s="106"/>
      <c r="K30" s="106">
        <v>57.04761</v>
      </c>
      <c r="L30" s="106"/>
      <c r="M30" s="106"/>
      <c r="N30" s="106"/>
      <c r="O30" s="106"/>
      <c r="P30" s="69" t="s">
        <v>578</v>
      </c>
    </row>
    <row r="31" ht="17" customHeight="1" spans="1:16">
      <c r="A31" s="394" t="s">
        <v>628</v>
      </c>
      <c r="B31" s="90" t="s">
        <v>629</v>
      </c>
      <c r="C31" s="106">
        <f t="shared" si="2"/>
        <v>208.572812</v>
      </c>
      <c r="D31" s="106">
        <v>73.917612</v>
      </c>
      <c r="E31" s="106">
        <v>80</v>
      </c>
      <c r="F31" s="106"/>
      <c r="G31" s="106"/>
      <c r="H31" s="106"/>
      <c r="I31" s="106"/>
      <c r="J31" s="106"/>
      <c r="K31" s="106">
        <v>54.6552</v>
      </c>
      <c r="L31" s="106"/>
      <c r="M31" s="106"/>
      <c r="N31" s="106"/>
      <c r="O31" s="106"/>
      <c r="P31" s="69" t="s">
        <v>578</v>
      </c>
    </row>
    <row r="32" ht="17" customHeight="1" spans="1:16">
      <c r="A32" s="91"/>
      <c r="B32" s="105" t="s">
        <v>630</v>
      </c>
      <c r="C32" s="107">
        <f t="shared" ref="C32:O32" si="3">SUM(C33:C48)</f>
        <v>10671.410082</v>
      </c>
      <c r="D32" s="107">
        <f t="shared" si="3"/>
        <v>2324.19392</v>
      </c>
      <c r="E32" s="107">
        <f t="shared" si="3"/>
        <v>476.018164</v>
      </c>
      <c r="F32" s="107">
        <f t="shared" si="3"/>
        <v>12.96</v>
      </c>
      <c r="G32" s="107">
        <f t="shared" si="3"/>
        <v>0</v>
      </c>
      <c r="H32" s="107">
        <f t="shared" si="3"/>
        <v>6889.638237</v>
      </c>
      <c r="I32" s="107">
        <f t="shared" si="3"/>
        <v>11.15</v>
      </c>
      <c r="J32" s="107">
        <f t="shared" si="3"/>
        <v>0</v>
      </c>
      <c r="K32" s="107">
        <f t="shared" si="3"/>
        <v>957.449761</v>
      </c>
      <c r="L32" s="107">
        <f t="shared" si="3"/>
        <v>0</v>
      </c>
      <c r="M32" s="107">
        <f t="shared" si="3"/>
        <v>0</v>
      </c>
      <c r="N32" s="107">
        <f t="shared" si="3"/>
        <v>0</v>
      </c>
      <c r="O32" s="107">
        <f t="shared" si="3"/>
        <v>0</v>
      </c>
      <c r="P32" s="69" t="s">
        <v>578</v>
      </c>
    </row>
    <row r="33" ht="17" customHeight="1" spans="1:16">
      <c r="A33" s="86" t="s">
        <v>631</v>
      </c>
      <c r="B33" s="90" t="s">
        <v>632</v>
      </c>
      <c r="C33" s="106">
        <f t="shared" ref="C33:C48" si="4">SUM(D33:O33)</f>
        <v>1068.808657</v>
      </c>
      <c r="D33" s="106">
        <v>753.926137</v>
      </c>
      <c r="E33" s="106">
        <v>163.578852</v>
      </c>
      <c r="F33" s="106">
        <v>5.4</v>
      </c>
      <c r="G33" s="106"/>
      <c r="H33" s="106">
        <v>38.639388</v>
      </c>
      <c r="I33" s="106"/>
      <c r="J33" s="106"/>
      <c r="K33" s="106">
        <v>107.26428</v>
      </c>
      <c r="L33" s="106"/>
      <c r="M33" s="106"/>
      <c r="N33" s="106"/>
      <c r="O33" s="106"/>
      <c r="P33" s="69" t="s">
        <v>578</v>
      </c>
    </row>
    <row r="34" ht="17" customHeight="1" spans="1:16">
      <c r="A34" s="89" t="s">
        <v>633</v>
      </c>
      <c r="B34" s="90" t="s">
        <v>634</v>
      </c>
      <c r="C34" s="106">
        <f t="shared" si="4"/>
        <v>553.119496</v>
      </c>
      <c r="D34" s="106"/>
      <c r="E34" s="106"/>
      <c r="F34" s="106"/>
      <c r="G34" s="106"/>
      <c r="H34" s="106">
        <v>460.382956</v>
      </c>
      <c r="I34" s="106"/>
      <c r="J34" s="106"/>
      <c r="K34" s="106">
        <v>92.73654</v>
      </c>
      <c r="L34" s="106"/>
      <c r="M34" s="106"/>
      <c r="N34" s="106"/>
      <c r="O34" s="106"/>
      <c r="P34" s="69" t="s">
        <v>578</v>
      </c>
    </row>
    <row r="35" ht="17" customHeight="1" spans="1:16">
      <c r="A35" s="89" t="s">
        <v>635</v>
      </c>
      <c r="B35" s="90" t="s">
        <v>636</v>
      </c>
      <c r="C35" s="106">
        <f t="shared" si="4"/>
        <v>1927.572343</v>
      </c>
      <c r="D35" s="106"/>
      <c r="E35" s="106"/>
      <c r="F35" s="106"/>
      <c r="G35" s="106"/>
      <c r="H35" s="106">
        <v>1817.222343</v>
      </c>
      <c r="I35" s="106">
        <v>0.85</v>
      </c>
      <c r="J35" s="106"/>
      <c r="K35" s="106">
        <v>109.5</v>
      </c>
      <c r="L35" s="106"/>
      <c r="M35" s="106"/>
      <c r="N35" s="106"/>
      <c r="O35" s="106"/>
      <c r="P35" s="94" t="s">
        <v>578</v>
      </c>
    </row>
    <row r="36" ht="17" customHeight="1" spans="1:16">
      <c r="A36" s="89" t="s">
        <v>637</v>
      </c>
      <c r="B36" s="90" t="s">
        <v>638</v>
      </c>
      <c r="C36" s="106">
        <f t="shared" si="4"/>
        <v>253.198308</v>
      </c>
      <c r="D36" s="106"/>
      <c r="E36" s="106"/>
      <c r="F36" s="106"/>
      <c r="G36" s="106"/>
      <c r="H36" s="106">
        <v>234.793308</v>
      </c>
      <c r="I36" s="106"/>
      <c r="J36" s="106"/>
      <c r="K36" s="106">
        <v>18.405</v>
      </c>
      <c r="L36" s="106"/>
      <c r="M36" s="106"/>
      <c r="N36" s="106"/>
      <c r="O36" s="106"/>
      <c r="P36" s="69" t="s">
        <v>578</v>
      </c>
    </row>
    <row r="37" ht="17" customHeight="1" spans="1:16">
      <c r="A37" s="89" t="s">
        <v>639</v>
      </c>
      <c r="B37" s="90" t="s">
        <v>640</v>
      </c>
      <c r="C37" s="106">
        <f t="shared" si="4"/>
        <v>619.1208</v>
      </c>
      <c r="D37" s="106"/>
      <c r="E37" s="106"/>
      <c r="F37" s="106"/>
      <c r="G37" s="106"/>
      <c r="H37" s="106">
        <v>558.4008</v>
      </c>
      <c r="I37" s="106"/>
      <c r="J37" s="106"/>
      <c r="K37" s="106">
        <v>60.72</v>
      </c>
      <c r="L37" s="106"/>
      <c r="M37" s="106"/>
      <c r="N37" s="106"/>
      <c r="O37" s="106"/>
      <c r="P37" s="69" t="s">
        <v>578</v>
      </c>
    </row>
    <row r="38" ht="17" customHeight="1" spans="1:16">
      <c r="A38" s="89" t="s">
        <v>641</v>
      </c>
      <c r="B38" s="90" t="s">
        <v>642</v>
      </c>
      <c r="C38" s="106">
        <f t="shared" si="4"/>
        <v>404.003311</v>
      </c>
      <c r="D38" s="106"/>
      <c r="E38" s="106"/>
      <c r="F38" s="106"/>
      <c r="G38" s="106"/>
      <c r="H38" s="106">
        <v>346.760311</v>
      </c>
      <c r="I38" s="106">
        <v>3</v>
      </c>
      <c r="J38" s="106"/>
      <c r="K38" s="106">
        <v>54.243</v>
      </c>
      <c r="L38" s="106"/>
      <c r="M38" s="106"/>
      <c r="N38" s="106"/>
      <c r="O38" s="106"/>
      <c r="P38" s="69" t="s">
        <v>578</v>
      </c>
    </row>
    <row r="39" ht="17" customHeight="1" spans="1:16">
      <c r="A39" s="89" t="s">
        <v>643</v>
      </c>
      <c r="B39" s="90" t="s">
        <v>644</v>
      </c>
      <c r="C39" s="106">
        <f t="shared" si="4"/>
        <v>84.645779</v>
      </c>
      <c r="D39" s="106"/>
      <c r="E39" s="106"/>
      <c r="F39" s="106"/>
      <c r="G39" s="106"/>
      <c r="H39" s="106">
        <v>44.456279</v>
      </c>
      <c r="I39" s="106"/>
      <c r="J39" s="106"/>
      <c r="K39" s="106">
        <v>40.1895</v>
      </c>
      <c r="L39" s="106"/>
      <c r="M39" s="106"/>
      <c r="N39" s="106"/>
      <c r="O39" s="106"/>
      <c r="P39" s="69" t="s">
        <v>578</v>
      </c>
    </row>
    <row r="40" ht="17" customHeight="1" spans="1:16">
      <c r="A40" s="89" t="s">
        <v>645</v>
      </c>
      <c r="B40" s="90" t="s">
        <v>646</v>
      </c>
      <c r="C40" s="106">
        <f t="shared" si="4"/>
        <v>581.561728</v>
      </c>
      <c r="D40" s="106"/>
      <c r="E40" s="106"/>
      <c r="F40" s="106"/>
      <c r="G40" s="106"/>
      <c r="H40" s="106">
        <v>426.597138</v>
      </c>
      <c r="I40" s="106"/>
      <c r="J40" s="106"/>
      <c r="K40" s="106">
        <v>154.96459</v>
      </c>
      <c r="L40" s="106"/>
      <c r="M40" s="106"/>
      <c r="N40" s="106"/>
      <c r="O40" s="106"/>
      <c r="P40" s="69" t="s">
        <v>578</v>
      </c>
    </row>
    <row r="41" ht="17" customHeight="1" spans="1:16">
      <c r="A41" s="89" t="s">
        <v>647</v>
      </c>
      <c r="B41" s="90" t="s">
        <v>648</v>
      </c>
      <c r="C41" s="106">
        <f t="shared" si="4"/>
        <v>488.349382</v>
      </c>
      <c r="D41" s="106"/>
      <c r="E41" s="106"/>
      <c r="F41" s="106"/>
      <c r="G41" s="106"/>
      <c r="H41" s="106">
        <v>420.852132</v>
      </c>
      <c r="I41" s="106">
        <v>1</v>
      </c>
      <c r="J41" s="106"/>
      <c r="K41" s="106">
        <v>66.49725</v>
      </c>
      <c r="L41" s="106"/>
      <c r="M41" s="106"/>
      <c r="N41" s="106"/>
      <c r="O41" s="106"/>
      <c r="P41" s="69" t="s">
        <v>578</v>
      </c>
    </row>
    <row r="42" ht="17" customHeight="1" spans="1:16">
      <c r="A42" s="89" t="s">
        <v>649</v>
      </c>
      <c r="B42" s="90" t="s">
        <v>650</v>
      </c>
      <c r="C42" s="106">
        <f t="shared" si="4"/>
        <v>436.86205</v>
      </c>
      <c r="D42" s="106"/>
      <c r="E42" s="106"/>
      <c r="F42" s="106"/>
      <c r="G42" s="106"/>
      <c r="H42" s="106">
        <v>436.66205</v>
      </c>
      <c r="I42" s="106">
        <v>0.2</v>
      </c>
      <c r="J42" s="106"/>
      <c r="K42" s="106"/>
      <c r="L42" s="106"/>
      <c r="M42" s="106"/>
      <c r="N42" s="106"/>
      <c r="O42" s="106"/>
      <c r="P42" s="69" t="s">
        <v>578</v>
      </c>
    </row>
    <row r="43" ht="17" customHeight="1" spans="1:16">
      <c r="A43" s="89" t="s">
        <v>651</v>
      </c>
      <c r="B43" s="90" t="s">
        <v>652</v>
      </c>
      <c r="C43" s="106">
        <f t="shared" si="4"/>
        <v>384.150613</v>
      </c>
      <c r="D43" s="106"/>
      <c r="E43" s="106"/>
      <c r="F43" s="106"/>
      <c r="G43" s="106"/>
      <c r="H43" s="106">
        <v>353.694952</v>
      </c>
      <c r="I43" s="106"/>
      <c r="J43" s="106"/>
      <c r="K43" s="106">
        <v>30.455661</v>
      </c>
      <c r="L43" s="106"/>
      <c r="M43" s="106"/>
      <c r="N43" s="106"/>
      <c r="O43" s="106"/>
      <c r="P43" s="69" t="s">
        <v>578</v>
      </c>
    </row>
    <row r="44" ht="17" customHeight="1" spans="1:16">
      <c r="A44" s="89" t="s">
        <v>653</v>
      </c>
      <c r="B44" s="90" t="s">
        <v>654</v>
      </c>
      <c r="C44" s="106">
        <f t="shared" si="4"/>
        <v>1852.330757</v>
      </c>
      <c r="D44" s="106">
        <v>1338.396197</v>
      </c>
      <c r="E44" s="106">
        <v>199.06932</v>
      </c>
      <c r="F44" s="106">
        <v>7.56</v>
      </c>
      <c r="G44" s="106"/>
      <c r="H44" s="106">
        <v>136.0608</v>
      </c>
      <c r="I44" s="106"/>
      <c r="J44" s="106"/>
      <c r="K44" s="106">
        <v>171.24444</v>
      </c>
      <c r="L44" s="106"/>
      <c r="M44" s="106"/>
      <c r="N44" s="106"/>
      <c r="O44" s="106"/>
      <c r="P44" s="69" t="s">
        <v>578</v>
      </c>
    </row>
    <row r="45" ht="17" customHeight="1" spans="1:16">
      <c r="A45" s="89" t="s">
        <v>655</v>
      </c>
      <c r="B45" s="90" t="s">
        <v>656</v>
      </c>
      <c r="C45" s="106">
        <f t="shared" si="4"/>
        <v>1092.118146</v>
      </c>
      <c r="D45" s="106"/>
      <c r="E45" s="106"/>
      <c r="F45" s="106"/>
      <c r="G45" s="106"/>
      <c r="H45" s="106">
        <v>1038.902146</v>
      </c>
      <c r="I45" s="106">
        <v>5</v>
      </c>
      <c r="J45" s="106"/>
      <c r="K45" s="106">
        <v>48.216</v>
      </c>
      <c r="L45" s="106"/>
      <c r="M45" s="106"/>
      <c r="N45" s="106"/>
      <c r="O45" s="106"/>
      <c r="P45" s="69" t="s">
        <v>578</v>
      </c>
    </row>
    <row r="46" ht="17" customHeight="1" spans="1:16">
      <c r="A46" s="89" t="s">
        <v>657</v>
      </c>
      <c r="B46" s="90" t="s">
        <v>658</v>
      </c>
      <c r="C46" s="106">
        <f t="shared" si="4"/>
        <v>245.37317</v>
      </c>
      <c r="D46" s="106"/>
      <c r="E46" s="106"/>
      <c r="F46" s="106"/>
      <c r="G46" s="106"/>
      <c r="H46" s="106">
        <v>242.25967</v>
      </c>
      <c r="I46" s="106">
        <v>0.1</v>
      </c>
      <c r="J46" s="106"/>
      <c r="K46" s="106">
        <v>3.0135</v>
      </c>
      <c r="L46" s="106"/>
      <c r="M46" s="106"/>
      <c r="N46" s="106"/>
      <c r="O46" s="106"/>
      <c r="P46" s="69" t="s">
        <v>578</v>
      </c>
    </row>
    <row r="47" ht="17" customHeight="1" spans="1:16">
      <c r="A47" s="89" t="s">
        <v>659</v>
      </c>
      <c r="B47" s="90" t="s">
        <v>660</v>
      </c>
      <c r="C47" s="106">
        <f t="shared" si="4"/>
        <v>312.84298</v>
      </c>
      <c r="D47" s="106"/>
      <c r="E47" s="106"/>
      <c r="F47" s="106"/>
      <c r="G47" s="106"/>
      <c r="H47" s="106">
        <v>311.84298</v>
      </c>
      <c r="I47" s="106">
        <v>1</v>
      </c>
      <c r="J47" s="106"/>
      <c r="K47" s="106"/>
      <c r="L47" s="106"/>
      <c r="M47" s="106"/>
      <c r="N47" s="106"/>
      <c r="O47" s="106"/>
      <c r="P47" s="69" t="s">
        <v>578</v>
      </c>
    </row>
    <row r="48" ht="17" customHeight="1" spans="1:16">
      <c r="A48" s="89" t="s">
        <v>661</v>
      </c>
      <c r="B48" s="90" t="s">
        <v>662</v>
      </c>
      <c r="C48" s="106">
        <f t="shared" si="4"/>
        <v>367.352562</v>
      </c>
      <c r="D48" s="106">
        <v>231.871586</v>
      </c>
      <c r="E48" s="106">
        <v>113.369992</v>
      </c>
      <c r="F48" s="106"/>
      <c r="G48" s="106"/>
      <c r="H48" s="106">
        <v>22.110984</v>
      </c>
      <c r="I48" s="106"/>
      <c r="J48" s="106"/>
      <c r="K48" s="106"/>
      <c r="L48" s="106"/>
      <c r="M48" s="106"/>
      <c r="N48" s="106"/>
      <c r="O48" s="106"/>
      <c r="P48" s="69" t="s">
        <v>578</v>
      </c>
    </row>
    <row r="49" ht="17" customHeight="1" spans="1:16">
      <c r="A49" s="108"/>
      <c r="B49" s="105" t="s">
        <v>663</v>
      </c>
      <c r="C49" s="109">
        <f t="shared" ref="C49:O49" si="5">SUM(C50:C84)</f>
        <v>47494.447591</v>
      </c>
      <c r="D49" s="109">
        <f t="shared" si="5"/>
        <v>4378.581668</v>
      </c>
      <c r="E49" s="109">
        <f t="shared" si="5"/>
        <v>3193.912545</v>
      </c>
      <c r="F49" s="109">
        <f t="shared" si="5"/>
        <v>319.748</v>
      </c>
      <c r="G49" s="109">
        <f t="shared" si="5"/>
        <v>0</v>
      </c>
      <c r="H49" s="109">
        <f t="shared" si="5"/>
        <v>19588.298534</v>
      </c>
      <c r="I49" s="109">
        <f t="shared" si="5"/>
        <v>3852.345904</v>
      </c>
      <c r="J49" s="109">
        <f t="shared" si="5"/>
        <v>0</v>
      </c>
      <c r="K49" s="109">
        <f t="shared" si="5"/>
        <v>16161.56094</v>
      </c>
      <c r="L49" s="109">
        <f t="shared" si="5"/>
        <v>0</v>
      </c>
      <c r="M49" s="109">
        <f t="shared" si="5"/>
        <v>0</v>
      </c>
      <c r="N49" s="109">
        <f t="shared" si="5"/>
        <v>0</v>
      </c>
      <c r="O49" s="109">
        <f t="shared" si="5"/>
        <v>0</v>
      </c>
      <c r="P49" s="69" t="s">
        <v>578</v>
      </c>
    </row>
    <row r="50" ht="17" customHeight="1" spans="1:16">
      <c r="A50" s="89" t="s">
        <v>1050</v>
      </c>
      <c r="B50" s="90" t="s">
        <v>664</v>
      </c>
      <c r="C50" s="106">
        <f t="shared" ref="C50:C84" si="6">SUM(D50:O50)</f>
        <v>8656.407926</v>
      </c>
      <c r="D50" s="106">
        <v>813.735571</v>
      </c>
      <c r="E50" s="106">
        <v>786.823788</v>
      </c>
      <c r="F50" s="106">
        <v>10</v>
      </c>
      <c r="G50" s="106"/>
      <c r="H50" s="106">
        <v>73.6905</v>
      </c>
      <c r="I50" s="106"/>
      <c r="J50" s="106"/>
      <c r="K50" s="106">
        <v>6972.158067</v>
      </c>
      <c r="L50" s="106"/>
      <c r="M50" s="106"/>
      <c r="N50" s="106"/>
      <c r="O50" s="106"/>
      <c r="P50" s="69" t="s">
        <v>578</v>
      </c>
    </row>
    <row r="51" ht="17" customHeight="1" spans="1:16">
      <c r="A51" s="89" t="s">
        <v>1051</v>
      </c>
      <c r="B51" s="90" t="s">
        <v>665</v>
      </c>
      <c r="C51" s="106">
        <f t="shared" si="6"/>
        <v>245.76835</v>
      </c>
      <c r="D51" s="106"/>
      <c r="E51" s="106"/>
      <c r="F51" s="106"/>
      <c r="G51" s="106"/>
      <c r="H51" s="106">
        <v>227.68735</v>
      </c>
      <c r="I51" s="106"/>
      <c r="J51" s="106"/>
      <c r="K51" s="106">
        <v>18.081</v>
      </c>
      <c r="L51" s="106"/>
      <c r="M51" s="106"/>
      <c r="N51" s="106"/>
      <c r="O51" s="106"/>
      <c r="P51" s="69" t="s">
        <v>578</v>
      </c>
    </row>
    <row r="52" ht="17" customHeight="1" spans="1:16">
      <c r="A52" s="89" t="s">
        <v>1052</v>
      </c>
      <c r="B52" s="90" t="s">
        <v>666</v>
      </c>
      <c r="C52" s="106">
        <f t="shared" si="6"/>
        <v>2131.479779</v>
      </c>
      <c r="D52" s="106"/>
      <c r="E52" s="106"/>
      <c r="F52" s="106"/>
      <c r="G52" s="106"/>
      <c r="H52" s="106">
        <v>440.873475</v>
      </c>
      <c r="I52" s="106">
        <v>1071.482804</v>
      </c>
      <c r="J52" s="106"/>
      <c r="K52" s="106">
        <v>619.1235</v>
      </c>
      <c r="L52" s="106"/>
      <c r="M52" s="106"/>
      <c r="N52" s="106"/>
      <c r="O52" s="106"/>
      <c r="P52" s="69" t="s">
        <v>578</v>
      </c>
    </row>
    <row r="53" ht="17" customHeight="1" spans="1:16">
      <c r="A53" s="89" t="s">
        <v>1053</v>
      </c>
      <c r="B53" s="90" t="s">
        <v>667</v>
      </c>
      <c r="C53" s="106">
        <f t="shared" si="6"/>
        <v>2280.485582</v>
      </c>
      <c r="D53" s="106"/>
      <c r="E53" s="106"/>
      <c r="F53" s="106"/>
      <c r="G53" s="106"/>
      <c r="H53" s="106">
        <v>1241.964582</v>
      </c>
      <c r="I53" s="106">
        <v>2.25</v>
      </c>
      <c r="J53" s="106"/>
      <c r="K53" s="106">
        <v>1036.271</v>
      </c>
      <c r="L53" s="106"/>
      <c r="M53" s="106"/>
      <c r="N53" s="106"/>
      <c r="O53" s="106"/>
      <c r="P53" s="94" t="s">
        <v>578</v>
      </c>
    </row>
    <row r="54" ht="17" customHeight="1" spans="1:16">
      <c r="A54" s="89" t="s">
        <v>1054</v>
      </c>
      <c r="B54" s="90" t="s">
        <v>668</v>
      </c>
      <c r="C54" s="106">
        <f t="shared" si="6"/>
        <v>143.143112</v>
      </c>
      <c r="D54" s="106"/>
      <c r="E54" s="106"/>
      <c r="F54" s="106"/>
      <c r="G54" s="106"/>
      <c r="H54" s="106">
        <v>130.102612</v>
      </c>
      <c r="I54" s="106"/>
      <c r="J54" s="106"/>
      <c r="K54" s="106">
        <v>13.0405</v>
      </c>
      <c r="L54" s="106"/>
      <c r="M54" s="106"/>
      <c r="N54" s="106"/>
      <c r="O54" s="106"/>
      <c r="P54" s="69" t="s">
        <v>578</v>
      </c>
    </row>
    <row r="55" ht="17" customHeight="1" spans="1:16">
      <c r="A55" s="89" t="s">
        <v>1055</v>
      </c>
      <c r="B55" s="90" t="s">
        <v>669</v>
      </c>
      <c r="C55" s="106">
        <f t="shared" si="6"/>
        <v>1567.023679</v>
      </c>
      <c r="D55" s="106">
        <v>345.304099</v>
      </c>
      <c r="E55" s="106">
        <v>50.19097</v>
      </c>
      <c r="F55" s="106">
        <v>1.5</v>
      </c>
      <c r="G55" s="106"/>
      <c r="H55" s="106">
        <v>11.0376</v>
      </c>
      <c r="I55" s="106"/>
      <c r="J55" s="106"/>
      <c r="K55" s="106">
        <v>1158.99101</v>
      </c>
      <c r="L55" s="106"/>
      <c r="M55" s="106"/>
      <c r="N55" s="106"/>
      <c r="O55" s="106"/>
      <c r="P55" s="69" t="s">
        <v>578</v>
      </c>
    </row>
    <row r="56" ht="17" customHeight="1" spans="1:16">
      <c r="A56" s="89" t="s">
        <v>1056</v>
      </c>
      <c r="B56" s="90" t="s">
        <v>670</v>
      </c>
      <c r="C56" s="106">
        <f t="shared" si="6"/>
        <v>3321.756562</v>
      </c>
      <c r="D56" s="106">
        <v>891.803173</v>
      </c>
      <c r="E56" s="106">
        <v>264.992257</v>
      </c>
      <c r="F56" s="106">
        <v>6.048</v>
      </c>
      <c r="G56" s="106"/>
      <c r="H56" s="106">
        <v>119.301132</v>
      </c>
      <c r="I56" s="106"/>
      <c r="J56" s="106"/>
      <c r="K56" s="106">
        <v>2039.612</v>
      </c>
      <c r="L56" s="106"/>
      <c r="M56" s="106"/>
      <c r="N56" s="106"/>
      <c r="O56" s="106"/>
      <c r="P56" s="69" t="s">
        <v>578</v>
      </c>
    </row>
    <row r="57" ht="17" customHeight="1" spans="1:16">
      <c r="A57" s="89" t="s">
        <v>1057</v>
      </c>
      <c r="B57" s="90" t="s">
        <v>671</v>
      </c>
      <c r="C57" s="106">
        <f t="shared" si="6"/>
        <v>1775.606294</v>
      </c>
      <c r="D57" s="106">
        <v>963.978524</v>
      </c>
      <c r="E57" s="106">
        <v>425.60572</v>
      </c>
      <c r="F57" s="106"/>
      <c r="G57" s="106"/>
      <c r="H57" s="106">
        <v>71.7972</v>
      </c>
      <c r="I57" s="106"/>
      <c r="J57" s="106"/>
      <c r="K57" s="106">
        <v>314.22485</v>
      </c>
      <c r="L57" s="106"/>
      <c r="M57" s="106"/>
      <c r="N57" s="106"/>
      <c r="O57" s="106"/>
      <c r="P57" s="69" t="s">
        <v>578</v>
      </c>
    </row>
    <row r="58" ht="17" customHeight="1" spans="1:16">
      <c r="A58" s="89" t="s">
        <v>1058</v>
      </c>
      <c r="B58" s="90" t="s">
        <v>672</v>
      </c>
      <c r="C58" s="106">
        <f t="shared" si="6"/>
        <v>2716.769533</v>
      </c>
      <c r="D58" s="106"/>
      <c r="E58" s="106"/>
      <c r="F58" s="106"/>
      <c r="G58" s="106"/>
      <c r="H58" s="106">
        <v>2667.639933</v>
      </c>
      <c r="I58" s="106">
        <v>2.9131</v>
      </c>
      <c r="J58" s="106"/>
      <c r="K58" s="106">
        <v>46.2165</v>
      </c>
      <c r="L58" s="106"/>
      <c r="M58" s="106"/>
      <c r="N58" s="106"/>
      <c r="O58" s="106"/>
      <c r="P58" s="69" t="s">
        <v>578</v>
      </c>
    </row>
    <row r="59" ht="17" customHeight="1" spans="1:16">
      <c r="A59" s="89" t="s">
        <v>1059</v>
      </c>
      <c r="B59" s="90" t="s">
        <v>673</v>
      </c>
      <c r="C59" s="106">
        <f t="shared" si="6"/>
        <v>826.788727</v>
      </c>
      <c r="D59" s="106"/>
      <c r="E59" s="106"/>
      <c r="F59" s="106"/>
      <c r="G59" s="106"/>
      <c r="H59" s="106">
        <v>735.468977</v>
      </c>
      <c r="I59" s="106">
        <v>3.5</v>
      </c>
      <c r="J59" s="106"/>
      <c r="K59" s="106">
        <v>87.81975</v>
      </c>
      <c r="L59" s="106"/>
      <c r="M59" s="106"/>
      <c r="N59" s="106"/>
      <c r="O59" s="106"/>
      <c r="P59" s="69" t="s">
        <v>578</v>
      </c>
    </row>
    <row r="60" ht="17" customHeight="1" spans="1:16">
      <c r="A60" s="89" t="s">
        <v>1060</v>
      </c>
      <c r="B60" s="90" t="s">
        <v>674</v>
      </c>
      <c r="C60" s="106">
        <f t="shared" si="6"/>
        <v>645.087091</v>
      </c>
      <c r="D60" s="106"/>
      <c r="E60" s="106"/>
      <c r="F60" s="106"/>
      <c r="G60" s="106"/>
      <c r="H60" s="106">
        <v>642.073591</v>
      </c>
      <c r="I60" s="106"/>
      <c r="J60" s="106"/>
      <c r="K60" s="106">
        <v>3.0135</v>
      </c>
      <c r="L60" s="106"/>
      <c r="M60" s="106"/>
      <c r="N60" s="106"/>
      <c r="O60" s="106"/>
      <c r="P60" s="69" t="s">
        <v>578</v>
      </c>
    </row>
    <row r="61" ht="17" customHeight="1" spans="1:16">
      <c r="A61" s="89" t="s">
        <v>1061</v>
      </c>
      <c r="B61" s="90" t="s">
        <v>675</v>
      </c>
      <c r="C61" s="106">
        <f t="shared" si="6"/>
        <v>2579.280606</v>
      </c>
      <c r="D61" s="106">
        <v>1007.567874</v>
      </c>
      <c r="E61" s="106">
        <v>1284.421722</v>
      </c>
      <c r="F61" s="106"/>
      <c r="G61" s="106"/>
      <c r="H61" s="106">
        <v>87.4152</v>
      </c>
      <c r="I61" s="106"/>
      <c r="J61" s="106"/>
      <c r="K61" s="106">
        <v>199.87581</v>
      </c>
      <c r="L61" s="106"/>
      <c r="M61" s="106"/>
      <c r="N61" s="106"/>
      <c r="O61" s="106"/>
      <c r="P61" s="69" t="s">
        <v>578</v>
      </c>
    </row>
    <row r="62" ht="17" customHeight="1" spans="1:16">
      <c r="A62" s="89" t="s">
        <v>1062</v>
      </c>
      <c r="B62" s="90" t="s">
        <v>676</v>
      </c>
      <c r="C62" s="106">
        <f t="shared" si="6"/>
        <v>762.848585</v>
      </c>
      <c r="D62" s="106"/>
      <c r="E62" s="106"/>
      <c r="F62" s="106"/>
      <c r="G62" s="106"/>
      <c r="H62" s="106">
        <v>700.395077</v>
      </c>
      <c r="I62" s="106"/>
      <c r="J62" s="106"/>
      <c r="K62" s="106">
        <v>62.453508</v>
      </c>
      <c r="L62" s="106"/>
      <c r="M62" s="106"/>
      <c r="N62" s="106"/>
      <c r="O62" s="106"/>
      <c r="P62" s="69" t="s">
        <v>578</v>
      </c>
    </row>
    <row r="63" ht="17" customHeight="1" spans="1:16">
      <c r="A63" s="89" t="s">
        <v>1063</v>
      </c>
      <c r="B63" s="90" t="s">
        <v>677</v>
      </c>
      <c r="C63" s="106">
        <f t="shared" si="6"/>
        <v>1873.5936</v>
      </c>
      <c r="D63" s="106"/>
      <c r="E63" s="106"/>
      <c r="F63" s="106"/>
      <c r="G63" s="106"/>
      <c r="H63" s="106">
        <v>778.5936</v>
      </c>
      <c r="I63" s="106">
        <v>1095</v>
      </c>
      <c r="J63" s="106"/>
      <c r="K63" s="106"/>
      <c r="L63" s="106"/>
      <c r="M63" s="106"/>
      <c r="N63" s="106"/>
      <c r="O63" s="106"/>
      <c r="P63" s="69" t="s">
        <v>578</v>
      </c>
    </row>
    <row r="64" ht="17" customHeight="1" spans="1:16">
      <c r="A64" s="89" t="s">
        <v>1065</v>
      </c>
      <c r="B64" s="90" t="s">
        <v>2191</v>
      </c>
      <c r="C64" s="106">
        <f t="shared" si="6"/>
        <v>1219.395243</v>
      </c>
      <c r="D64" s="106"/>
      <c r="E64" s="106"/>
      <c r="F64" s="106"/>
      <c r="G64" s="106"/>
      <c r="H64" s="106">
        <v>1216.353243</v>
      </c>
      <c r="I64" s="106"/>
      <c r="J64" s="106"/>
      <c r="K64" s="106">
        <v>3.042</v>
      </c>
      <c r="L64" s="106"/>
      <c r="M64" s="106"/>
      <c r="N64" s="106"/>
      <c r="O64" s="106"/>
      <c r="P64" s="69" t="s">
        <v>578</v>
      </c>
    </row>
    <row r="65" ht="17" customHeight="1" spans="1:16">
      <c r="A65" s="89" t="s">
        <v>1066</v>
      </c>
      <c r="B65" s="90" t="s">
        <v>679</v>
      </c>
      <c r="C65" s="106">
        <f t="shared" si="6"/>
        <v>538.18142</v>
      </c>
      <c r="D65" s="106"/>
      <c r="E65" s="106"/>
      <c r="F65" s="106"/>
      <c r="G65" s="106"/>
      <c r="H65" s="106">
        <v>273.18142</v>
      </c>
      <c r="I65" s="106"/>
      <c r="J65" s="106"/>
      <c r="K65" s="106">
        <v>265</v>
      </c>
      <c r="L65" s="106"/>
      <c r="M65" s="106"/>
      <c r="N65" s="106"/>
      <c r="O65" s="106"/>
      <c r="P65" s="69" t="s">
        <v>578</v>
      </c>
    </row>
    <row r="66" ht="17" customHeight="1" spans="1:16">
      <c r="A66" s="89" t="s">
        <v>1067</v>
      </c>
      <c r="B66" s="90" t="s">
        <v>680</v>
      </c>
      <c r="C66" s="106">
        <f t="shared" si="6"/>
        <v>1186.304528</v>
      </c>
      <c r="D66" s="106"/>
      <c r="E66" s="106"/>
      <c r="F66" s="106"/>
      <c r="G66" s="106"/>
      <c r="H66" s="106">
        <v>1164.161528</v>
      </c>
      <c r="I66" s="106">
        <v>15</v>
      </c>
      <c r="J66" s="106"/>
      <c r="K66" s="106">
        <v>7.143</v>
      </c>
      <c r="L66" s="106"/>
      <c r="M66" s="106"/>
      <c r="N66" s="106"/>
      <c r="O66" s="106"/>
      <c r="P66" s="69" t="s">
        <v>578</v>
      </c>
    </row>
    <row r="67" ht="17" customHeight="1" spans="1:16">
      <c r="A67" s="89" t="s">
        <v>1068</v>
      </c>
      <c r="B67" s="90" t="s">
        <v>681</v>
      </c>
      <c r="C67" s="106">
        <f t="shared" si="6"/>
        <v>3139.415345</v>
      </c>
      <c r="D67" s="106"/>
      <c r="E67" s="106"/>
      <c r="F67" s="106"/>
      <c r="G67" s="106"/>
      <c r="H67" s="106">
        <v>1438.748</v>
      </c>
      <c r="I67" s="106">
        <v>1661.8</v>
      </c>
      <c r="J67" s="106"/>
      <c r="K67" s="106">
        <v>38.867345</v>
      </c>
      <c r="L67" s="106"/>
      <c r="M67" s="106"/>
      <c r="N67" s="106"/>
      <c r="O67" s="106"/>
      <c r="P67" s="69" t="s">
        <v>578</v>
      </c>
    </row>
    <row r="68" ht="17" customHeight="1" spans="1:16">
      <c r="A68" s="89" t="s">
        <v>1069</v>
      </c>
      <c r="B68" s="90" t="s">
        <v>682</v>
      </c>
      <c r="C68" s="106">
        <f t="shared" si="6"/>
        <v>565.79007</v>
      </c>
      <c r="D68" s="106"/>
      <c r="E68" s="106"/>
      <c r="F68" s="106"/>
      <c r="G68" s="106"/>
      <c r="H68" s="106">
        <v>565.79007</v>
      </c>
      <c r="I68" s="106"/>
      <c r="J68" s="106"/>
      <c r="K68" s="106"/>
      <c r="L68" s="106"/>
      <c r="M68" s="106"/>
      <c r="N68" s="106"/>
      <c r="O68" s="106"/>
      <c r="P68" s="69" t="s">
        <v>578</v>
      </c>
    </row>
    <row r="69" ht="17" customHeight="1" spans="1:16">
      <c r="A69" s="89" t="s">
        <v>1070</v>
      </c>
      <c r="B69" s="90" t="s">
        <v>683</v>
      </c>
      <c r="C69" s="106">
        <f t="shared" si="6"/>
        <v>421.160813</v>
      </c>
      <c r="D69" s="106"/>
      <c r="E69" s="106"/>
      <c r="F69" s="106"/>
      <c r="G69" s="106"/>
      <c r="H69" s="106">
        <v>421.160813</v>
      </c>
      <c r="I69" s="106"/>
      <c r="J69" s="106"/>
      <c r="K69" s="106"/>
      <c r="L69" s="106"/>
      <c r="M69" s="106"/>
      <c r="N69" s="106"/>
      <c r="O69" s="106"/>
      <c r="P69" s="69" t="s">
        <v>578</v>
      </c>
    </row>
    <row r="70" ht="17" customHeight="1" spans="1:16">
      <c r="A70" s="89" t="s">
        <v>1071</v>
      </c>
      <c r="B70" s="90" t="s">
        <v>684</v>
      </c>
      <c r="C70" s="106">
        <f t="shared" si="6"/>
        <v>717.319034</v>
      </c>
      <c r="D70" s="106"/>
      <c r="E70" s="106"/>
      <c r="F70" s="106"/>
      <c r="G70" s="106"/>
      <c r="H70" s="106">
        <v>717.319034</v>
      </c>
      <c r="I70" s="106"/>
      <c r="J70" s="106"/>
      <c r="K70" s="106"/>
      <c r="L70" s="106"/>
      <c r="M70" s="106"/>
      <c r="N70" s="106"/>
      <c r="O70" s="106"/>
      <c r="P70" s="69" t="s">
        <v>578</v>
      </c>
    </row>
    <row r="71" ht="17" customHeight="1" spans="1:16">
      <c r="A71" s="89" t="s">
        <v>1072</v>
      </c>
      <c r="B71" s="90" t="s">
        <v>2192</v>
      </c>
      <c r="C71" s="106">
        <f t="shared" si="6"/>
        <v>636.014182</v>
      </c>
      <c r="D71" s="106"/>
      <c r="E71" s="106"/>
      <c r="F71" s="106"/>
      <c r="G71" s="106"/>
      <c r="H71" s="106">
        <v>636.014182</v>
      </c>
      <c r="I71" s="106"/>
      <c r="J71" s="106"/>
      <c r="K71" s="106"/>
      <c r="L71" s="106"/>
      <c r="M71" s="106"/>
      <c r="N71" s="106"/>
      <c r="O71" s="106"/>
      <c r="P71" s="69" t="s">
        <v>578</v>
      </c>
    </row>
    <row r="72" ht="17" customHeight="1" spans="1:16">
      <c r="A72" s="89" t="s">
        <v>1073</v>
      </c>
      <c r="B72" s="90" t="s">
        <v>686</v>
      </c>
      <c r="C72" s="106">
        <f t="shared" si="6"/>
        <v>417.223786</v>
      </c>
      <c r="D72" s="106"/>
      <c r="E72" s="106"/>
      <c r="F72" s="106"/>
      <c r="G72" s="106"/>
      <c r="H72" s="106">
        <v>417.223786</v>
      </c>
      <c r="I72" s="106"/>
      <c r="J72" s="106"/>
      <c r="K72" s="106"/>
      <c r="L72" s="106"/>
      <c r="M72" s="106"/>
      <c r="N72" s="106"/>
      <c r="O72" s="106"/>
      <c r="P72" s="69" t="s">
        <v>578</v>
      </c>
    </row>
    <row r="73" ht="17" customHeight="1" spans="1:16">
      <c r="A73" s="89" t="s">
        <v>1074</v>
      </c>
      <c r="B73" s="90" t="s">
        <v>687</v>
      </c>
      <c r="C73" s="106">
        <f t="shared" si="6"/>
        <v>448.758538</v>
      </c>
      <c r="D73" s="106"/>
      <c r="E73" s="106"/>
      <c r="F73" s="106"/>
      <c r="G73" s="106"/>
      <c r="H73" s="106">
        <v>448.434538</v>
      </c>
      <c r="I73" s="106"/>
      <c r="J73" s="106"/>
      <c r="K73" s="106">
        <v>0.324</v>
      </c>
      <c r="L73" s="106"/>
      <c r="M73" s="106"/>
      <c r="N73" s="106"/>
      <c r="O73" s="106"/>
      <c r="P73" s="69" t="s">
        <v>578</v>
      </c>
    </row>
    <row r="74" ht="17" customHeight="1" spans="1:16">
      <c r="A74" s="89" t="s">
        <v>1075</v>
      </c>
      <c r="B74" s="90" t="s">
        <v>688</v>
      </c>
      <c r="C74" s="106">
        <f t="shared" si="6"/>
        <v>377.67</v>
      </c>
      <c r="D74" s="106"/>
      <c r="E74" s="106"/>
      <c r="F74" s="106"/>
      <c r="G74" s="106"/>
      <c r="H74" s="106">
        <v>377.67</v>
      </c>
      <c r="I74" s="106"/>
      <c r="J74" s="106"/>
      <c r="K74" s="106"/>
      <c r="L74" s="106"/>
      <c r="M74" s="106"/>
      <c r="N74" s="106"/>
      <c r="O74" s="106"/>
      <c r="P74" s="69" t="s">
        <v>578</v>
      </c>
    </row>
    <row r="75" ht="17" customHeight="1" spans="1:16">
      <c r="A75" s="89" t="s">
        <v>1076</v>
      </c>
      <c r="B75" s="90" t="s">
        <v>689</v>
      </c>
      <c r="C75" s="106">
        <f t="shared" si="6"/>
        <v>386.035514</v>
      </c>
      <c r="D75" s="106"/>
      <c r="E75" s="106"/>
      <c r="F75" s="106"/>
      <c r="G75" s="106"/>
      <c r="H75" s="106">
        <v>386.035514</v>
      </c>
      <c r="I75" s="106"/>
      <c r="J75" s="106"/>
      <c r="K75" s="106"/>
      <c r="L75" s="106"/>
      <c r="M75" s="106"/>
      <c r="N75" s="106"/>
      <c r="O75" s="106"/>
      <c r="P75" s="69" t="s">
        <v>578</v>
      </c>
    </row>
    <row r="76" ht="17" customHeight="1" spans="1:16">
      <c r="A76" s="89" t="s">
        <v>1077</v>
      </c>
      <c r="B76" s="90" t="s">
        <v>2193</v>
      </c>
      <c r="C76" s="106">
        <f t="shared" si="6"/>
        <v>1371.863082</v>
      </c>
      <c r="D76" s="106"/>
      <c r="E76" s="106"/>
      <c r="F76" s="106"/>
      <c r="G76" s="106"/>
      <c r="H76" s="106">
        <v>1359.059482</v>
      </c>
      <c r="I76" s="106"/>
      <c r="J76" s="106"/>
      <c r="K76" s="106">
        <v>12.8036</v>
      </c>
      <c r="L76" s="106"/>
      <c r="M76" s="106"/>
      <c r="N76" s="106"/>
      <c r="O76" s="106"/>
      <c r="P76" s="69" t="s">
        <v>578</v>
      </c>
    </row>
    <row r="77" ht="17" customHeight="1" spans="1:16">
      <c r="A77" s="89" t="s">
        <v>1078</v>
      </c>
      <c r="B77" s="90" t="s">
        <v>691</v>
      </c>
      <c r="C77" s="106">
        <f t="shared" si="6"/>
        <v>385.396918</v>
      </c>
      <c r="D77" s="106"/>
      <c r="E77" s="106"/>
      <c r="F77" s="106"/>
      <c r="G77" s="106"/>
      <c r="H77" s="106">
        <v>385.396918</v>
      </c>
      <c r="I77" s="106"/>
      <c r="J77" s="106"/>
      <c r="K77" s="106"/>
      <c r="L77" s="106"/>
      <c r="M77" s="106"/>
      <c r="N77" s="106"/>
      <c r="O77" s="106"/>
      <c r="P77" s="69" t="s">
        <v>578</v>
      </c>
    </row>
    <row r="78" ht="17" customHeight="1" spans="1:16">
      <c r="A78" s="89" t="s">
        <v>1079</v>
      </c>
      <c r="B78" s="90" t="s">
        <v>692</v>
      </c>
      <c r="C78" s="106">
        <f t="shared" si="6"/>
        <v>465.588374</v>
      </c>
      <c r="D78" s="106"/>
      <c r="E78" s="106"/>
      <c r="F78" s="106"/>
      <c r="G78" s="106"/>
      <c r="H78" s="106">
        <v>465.588374</v>
      </c>
      <c r="I78" s="106"/>
      <c r="J78" s="106"/>
      <c r="K78" s="106"/>
      <c r="L78" s="106"/>
      <c r="M78" s="106"/>
      <c r="N78" s="106"/>
      <c r="O78" s="106"/>
      <c r="P78" s="69" t="s">
        <v>578</v>
      </c>
    </row>
    <row r="79" ht="17" customHeight="1" spans="1:16">
      <c r="A79" s="89" t="s">
        <v>1080</v>
      </c>
      <c r="B79" s="90" t="s">
        <v>693</v>
      </c>
      <c r="C79" s="106">
        <f t="shared" si="6"/>
        <v>558.40917</v>
      </c>
      <c r="D79" s="106"/>
      <c r="E79" s="106"/>
      <c r="F79" s="106"/>
      <c r="G79" s="106"/>
      <c r="H79" s="106">
        <v>558.40917</v>
      </c>
      <c r="I79" s="106"/>
      <c r="J79" s="106"/>
      <c r="K79" s="106"/>
      <c r="L79" s="106"/>
      <c r="M79" s="106"/>
      <c r="N79" s="106"/>
      <c r="O79" s="106"/>
      <c r="P79" s="69" t="s">
        <v>578</v>
      </c>
    </row>
    <row r="80" ht="17" customHeight="1" spans="1:16">
      <c r="A80" s="89" t="s">
        <v>1081</v>
      </c>
      <c r="B80" s="90" t="s">
        <v>694</v>
      </c>
      <c r="C80" s="106">
        <f t="shared" si="6"/>
        <v>394.647664</v>
      </c>
      <c r="D80" s="106"/>
      <c r="E80" s="106"/>
      <c r="F80" s="106"/>
      <c r="G80" s="106"/>
      <c r="H80" s="106">
        <v>394.647664</v>
      </c>
      <c r="I80" s="106"/>
      <c r="J80" s="106"/>
      <c r="K80" s="106"/>
      <c r="L80" s="106"/>
      <c r="M80" s="106"/>
      <c r="N80" s="106"/>
      <c r="O80" s="106"/>
      <c r="P80" s="69" t="s">
        <v>578</v>
      </c>
    </row>
    <row r="81" ht="17" customHeight="1" spans="1:16">
      <c r="A81" s="89" t="s">
        <v>1082</v>
      </c>
      <c r="B81" s="90" t="s">
        <v>695</v>
      </c>
      <c r="C81" s="106">
        <f t="shared" si="6"/>
        <v>39.130525</v>
      </c>
      <c r="D81" s="106"/>
      <c r="E81" s="106"/>
      <c r="F81" s="106"/>
      <c r="G81" s="106"/>
      <c r="H81" s="106">
        <v>39.130525</v>
      </c>
      <c r="I81" s="106"/>
      <c r="J81" s="106"/>
      <c r="K81" s="106"/>
      <c r="L81" s="106"/>
      <c r="M81" s="106"/>
      <c r="N81" s="106"/>
      <c r="O81" s="106"/>
      <c r="P81" s="69" t="s">
        <v>578</v>
      </c>
    </row>
    <row r="82" ht="17" customHeight="1" spans="1:16">
      <c r="A82" s="89" t="s">
        <v>1083</v>
      </c>
      <c r="B82" s="90" t="s">
        <v>696</v>
      </c>
      <c r="C82" s="106">
        <f t="shared" si="6"/>
        <v>240.429066</v>
      </c>
      <c r="D82" s="106"/>
      <c r="E82" s="106"/>
      <c r="F82" s="106"/>
      <c r="G82" s="106"/>
      <c r="H82" s="106">
        <v>240.429066</v>
      </c>
      <c r="I82" s="106"/>
      <c r="J82" s="106"/>
      <c r="K82" s="106"/>
      <c r="L82" s="106"/>
      <c r="M82" s="106"/>
      <c r="N82" s="106"/>
      <c r="O82" s="106"/>
      <c r="P82" s="69" t="s">
        <v>578</v>
      </c>
    </row>
    <row r="83" ht="17" customHeight="1" spans="1:16">
      <c r="A83" s="89" t="s">
        <v>1084</v>
      </c>
      <c r="B83" s="90" t="s">
        <v>697</v>
      </c>
      <c r="C83" s="106">
        <f t="shared" si="6"/>
        <v>4320.362915</v>
      </c>
      <c r="D83" s="106">
        <v>356.192427</v>
      </c>
      <c r="E83" s="106">
        <v>381.878088</v>
      </c>
      <c r="F83" s="106">
        <v>302.2</v>
      </c>
      <c r="G83" s="106"/>
      <c r="H83" s="106">
        <v>27.0924</v>
      </c>
      <c r="I83" s="106"/>
      <c r="J83" s="106"/>
      <c r="K83" s="106">
        <v>3253</v>
      </c>
      <c r="L83" s="106"/>
      <c r="M83" s="106"/>
      <c r="N83" s="106"/>
      <c r="O83" s="106"/>
      <c r="P83" s="69" t="s">
        <v>578</v>
      </c>
    </row>
    <row r="84" ht="17" customHeight="1" spans="1:16">
      <c r="A84" s="89" t="s">
        <v>1085</v>
      </c>
      <c r="B84" s="90" t="s">
        <v>698</v>
      </c>
      <c r="C84" s="106">
        <f t="shared" si="6"/>
        <v>139.311978</v>
      </c>
      <c r="D84" s="106"/>
      <c r="E84" s="106"/>
      <c r="F84" s="106"/>
      <c r="G84" s="106"/>
      <c r="H84" s="106">
        <v>128.411978</v>
      </c>
      <c r="I84" s="106">
        <v>0.4</v>
      </c>
      <c r="J84" s="106"/>
      <c r="K84" s="106">
        <v>10.5</v>
      </c>
      <c r="L84" s="106"/>
      <c r="M84" s="106"/>
      <c r="N84" s="106"/>
      <c r="O84" s="106"/>
      <c r="P84" s="69" t="s">
        <v>578</v>
      </c>
    </row>
    <row r="85" ht="17" customHeight="1" spans="1:16">
      <c r="A85" s="108"/>
      <c r="B85" s="105" t="s">
        <v>699</v>
      </c>
      <c r="C85" s="109">
        <f t="shared" ref="C85:O85" si="7">SUM(C86:C103)</f>
        <v>37359.287183</v>
      </c>
      <c r="D85" s="109">
        <f t="shared" si="7"/>
        <v>8784.332636</v>
      </c>
      <c r="E85" s="109">
        <f t="shared" si="7"/>
        <v>13874.434886</v>
      </c>
      <c r="F85" s="109">
        <f t="shared" si="7"/>
        <v>504.6</v>
      </c>
      <c r="G85" s="109">
        <f t="shared" si="7"/>
        <v>0</v>
      </c>
      <c r="H85" s="109">
        <f t="shared" si="7"/>
        <v>11539.544187</v>
      </c>
      <c r="I85" s="109">
        <f t="shared" si="7"/>
        <v>685.8812</v>
      </c>
      <c r="J85" s="109">
        <f t="shared" si="7"/>
        <v>200</v>
      </c>
      <c r="K85" s="109">
        <f t="shared" si="7"/>
        <v>1770.494274</v>
      </c>
      <c r="L85" s="109">
        <f t="shared" si="7"/>
        <v>0</v>
      </c>
      <c r="M85" s="109">
        <f t="shared" si="7"/>
        <v>0</v>
      </c>
      <c r="N85" s="109">
        <f t="shared" si="7"/>
        <v>0</v>
      </c>
      <c r="O85" s="109">
        <f t="shared" si="7"/>
        <v>0</v>
      </c>
      <c r="P85" s="69" t="s">
        <v>578</v>
      </c>
    </row>
    <row r="86" ht="17" customHeight="1" spans="1:16">
      <c r="A86" s="89" t="s">
        <v>2194</v>
      </c>
      <c r="B86" s="90" t="s">
        <v>700</v>
      </c>
      <c r="C86" s="106">
        <f t="shared" ref="C86:C103" si="8">SUM(D86:O86)</f>
        <v>2511.691597</v>
      </c>
      <c r="D86" s="106">
        <v>1106.636563</v>
      </c>
      <c r="E86" s="106">
        <v>1016.20658</v>
      </c>
      <c r="F86" s="106">
        <v>2.53</v>
      </c>
      <c r="G86" s="106"/>
      <c r="H86" s="106">
        <v>105.2304</v>
      </c>
      <c r="I86" s="106"/>
      <c r="J86" s="106"/>
      <c r="K86" s="106">
        <v>281.088054</v>
      </c>
      <c r="L86" s="106"/>
      <c r="M86" s="106"/>
      <c r="N86" s="106"/>
      <c r="O86" s="106"/>
      <c r="P86" s="69" t="s">
        <v>578</v>
      </c>
    </row>
    <row r="87" ht="17" customHeight="1" spans="1:16">
      <c r="A87" s="89" t="s">
        <v>2195</v>
      </c>
      <c r="B87" s="90" t="s">
        <v>701</v>
      </c>
      <c r="C87" s="106">
        <f t="shared" si="8"/>
        <v>4923.084423</v>
      </c>
      <c r="D87" s="106">
        <v>2485.101397</v>
      </c>
      <c r="E87" s="106">
        <v>1414.751656</v>
      </c>
      <c r="F87" s="106">
        <v>308.5</v>
      </c>
      <c r="G87" s="106"/>
      <c r="H87" s="106">
        <v>317.19</v>
      </c>
      <c r="I87" s="106"/>
      <c r="J87" s="106"/>
      <c r="K87" s="106">
        <v>397.54137</v>
      </c>
      <c r="L87" s="106"/>
      <c r="M87" s="106"/>
      <c r="N87" s="106"/>
      <c r="O87" s="106"/>
      <c r="P87" s="69" t="s">
        <v>578</v>
      </c>
    </row>
    <row r="88" ht="17" customHeight="1" spans="1:16">
      <c r="A88" s="89" t="s">
        <v>2196</v>
      </c>
      <c r="B88" s="90" t="s">
        <v>702</v>
      </c>
      <c r="C88" s="106">
        <f t="shared" si="8"/>
        <v>368.739681</v>
      </c>
      <c r="D88" s="106"/>
      <c r="E88" s="106"/>
      <c r="F88" s="106"/>
      <c r="G88" s="106"/>
      <c r="H88" s="106">
        <v>364.314981</v>
      </c>
      <c r="I88" s="106">
        <v>1.4112</v>
      </c>
      <c r="J88" s="106"/>
      <c r="K88" s="106">
        <v>3.0135</v>
      </c>
      <c r="L88" s="106"/>
      <c r="M88" s="106"/>
      <c r="N88" s="106"/>
      <c r="O88" s="106"/>
      <c r="P88" s="69" t="s">
        <v>578</v>
      </c>
    </row>
    <row r="89" ht="17" customHeight="1" spans="1:16">
      <c r="A89" s="89" t="s">
        <v>2197</v>
      </c>
      <c r="B89" s="90" t="s">
        <v>703</v>
      </c>
      <c r="C89" s="106">
        <f t="shared" si="8"/>
        <v>212.1021</v>
      </c>
      <c r="D89" s="106"/>
      <c r="E89" s="106"/>
      <c r="F89" s="106"/>
      <c r="G89" s="106"/>
      <c r="H89" s="106">
        <v>149.3806</v>
      </c>
      <c r="I89" s="106">
        <v>35.6</v>
      </c>
      <c r="J89" s="106"/>
      <c r="K89" s="106">
        <v>27.1215</v>
      </c>
      <c r="L89" s="106"/>
      <c r="M89" s="106"/>
      <c r="N89" s="106"/>
      <c r="O89" s="106"/>
      <c r="P89" s="94" t="s">
        <v>578</v>
      </c>
    </row>
    <row r="90" ht="17" customHeight="1" spans="1:16">
      <c r="A90" s="89" t="s">
        <v>2198</v>
      </c>
      <c r="B90" s="90" t="s">
        <v>704</v>
      </c>
      <c r="C90" s="106">
        <f t="shared" si="8"/>
        <v>10238.429154</v>
      </c>
      <c r="D90" s="106">
        <v>2461.289278</v>
      </c>
      <c r="E90" s="106">
        <v>7673.187596</v>
      </c>
      <c r="F90" s="106"/>
      <c r="G90" s="106"/>
      <c r="H90" s="106">
        <v>5.0877</v>
      </c>
      <c r="I90" s="106"/>
      <c r="J90" s="106"/>
      <c r="K90" s="106">
        <v>98.86458</v>
      </c>
      <c r="L90" s="106"/>
      <c r="M90" s="106"/>
      <c r="N90" s="106"/>
      <c r="O90" s="106"/>
      <c r="P90" s="69" t="s">
        <v>578</v>
      </c>
    </row>
    <row r="91" ht="17" customHeight="1" spans="1:16">
      <c r="A91" s="89" t="s">
        <v>2199</v>
      </c>
      <c r="B91" s="90" t="s">
        <v>705</v>
      </c>
      <c r="C91" s="106">
        <f t="shared" si="8"/>
        <v>1292.129373</v>
      </c>
      <c r="D91" s="106"/>
      <c r="E91" s="106"/>
      <c r="F91" s="106"/>
      <c r="G91" s="106"/>
      <c r="H91" s="106">
        <v>1288.437373</v>
      </c>
      <c r="I91" s="106">
        <v>0.65</v>
      </c>
      <c r="J91" s="106"/>
      <c r="K91" s="106">
        <v>3.042</v>
      </c>
      <c r="L91" s="106"/>
      <c r="M91" s="106"/>
      <c r="N91" s="106"/>
      <c r="O91" s="106"/>
      <c r="P91" s="69" t="s">
        <v>578</v>
      </c>
    </row>
    <row r="92" ht="17" customHeight="1" spans="1:16">
      <c r="A92" s="89" t="s">
        <v>2200</v>
      </c>
      <c r="B92" s="90" t="s">
        <v>706</v>
      </c>
      <c r="C92" s="106">
        <f t="shared" si="8"/>
        <v>771.393407</v>
      </c>
      <c r="D92" s="106"/>
      <c r="E92" s="106"/>
      <c r="F92" s="106"/>
      <c r="G92" s="106"/>
      <c r="H92" s="106">
        <v>771.393407</v>
      </c>
      <c r="I92" s="106"/>
      <c r="J92" s="106"/>
      <c r="K92" s="106"/>
      <c r="L92" s="106"/>
      <c r="M92" s="106"/>
      <c r="N92" s="106"/>
      <c r="O92" s="106"/>
      <c r="P92" s="69" t="s">
        <v>578</v>
      </c>
    </row>
    <row r="93" ht="17" customHeight="1" spans="1:16">
      <c r="A93" s="89" t="s">
        <v>2201</v>
      </c>
      <c r="B93" s="90" t="s">
        <v>707</v>
      </c>
      <c r="C93" s="106">
        <f t="shared" si="8"/>
        <v>139.970963</v>
      </c>
      <c r="D93" s="106"/>
      <c r="E93" s="106"/>
      <c r="F93" s="106"/>
      <c r="G93" s="106"/>
      <c r="H93" s="106">
        <v>139.670963</v>
      </c>
      <c r="I93" s="106">
        <v>0.3</v>
      </c>
      <c r="J93" s="106"/>
      <c r="K93" s="106"/>
      <c r="L93" s="106"/>
      <c r="M93" s="106"/>
      <c r="N93" s="106"/>
      <c r="O93" s="106"/>
      <c r="P93" s="69" t="s">
        <v>578</v>
      </c>
    </row>
    <row r="94" ht="17" customHeight="1" spans="1:16">
      <c r="A94" s="89" t="s">
        <v>2202</v>
      </c>
      <c r="B94" s="90" t="s">
        <v>2203</v>
      </c>
      <c r="C94" s="106">
        <f t="shared" si="8"/>
        <v>1042.332064</v>
      </c>
      <c r="D94" s="106"/>
      <c r="E94" s="106"/>
      <c r="F94" s="106"/>
      <c r="G94" s="106"/>
      <c r="H94" s="106">
        <v>979.995564</v>
      </c>
      <c r="I94" s="106">
        <v>5.08</v>
      </c>
      <c r="J94" s="106"/>
      <c r="K94" s="106">
        <v>57.2565</v>
      </c>
      <c r="L94" s="106"/>
      <c r="M94" s="106"/>
      <c r="N94" s="106"/>
      <c r="O94" s="106"/>
      <c r="P94" s="69" t="s">
        <v>578</v>
      </c>
    </row>
    <row r="95" ht="17" customHeight="1" spans="1:16">
      <c r="A95" s="89" t="s">
        <v>2204</v>
      </c>
      <c r="B95" s="90" t="s">
        <v>709</v>
      </c>
      <c r="C95" s="106">
        <f t="shared" si="8"/>
        <v>1656.48391</v>
      </c>
      <c r="D95" s="106"/>
      <c r="E95" s="106"/>
      <c r="F95" s="106"/>
      <c r="G95" s="106"/>
      <c r="H95" s="106">
        <v>1482.20041</v>
      </c>
      <c r="I95" s="106">
        <v>1.5</v>
      </c>
      <c r="J95" s="106"/>
      <c r="K95" s="106">
        <v>172.7835</v>
      </c>
      <c r="L95" s="106"/>
      <c r="M95" s="106"/>
      <c r="N95" s="106"/>
      <c r="O95" s="106"/>
      <c r="P95" s="69" t="s">
        <v>578</v>
      </c>
    </row>
    <row r="96" ht="17" customHeight="1" spans="1:16">
      <c r="A96" s="89" t="s">
        <v>2205</v>
      </c>
      <c r="B96" s="90" t="s">
        <v>710</v>
      </c>
      <c r="C96" s="106">
        <f t="shared" si="8"/>
        <v>713.705826</v>
      </c>
      <c r="D96" s="106">
        <v>375.02464</v>
      </c>
      <c r="E96" s="106">
        <v>48.131002</v>
      </c>
      <c r="F96" s="106">
        <v>163.57</v>
      </c>
      <c r="G96" s="106"/>
      <c r="H96" s="106">
        <v>2.4384</v>
      </c>
      <c r="I96" s="106"/>
      <c r="J96" s="106"/>
      <c r="K96" s="106">
        <v>124.541784</v>
      </c>
      <c r="L96" s="106"/>
      <c r="M96" s="106"/>
      <c r="N96" s="106"/>
      <c r="O96" s="106"/>
      <c r="P96" s="69" t="s">
        <v>578</v>
      </c>
    </row>
    <row r="97" ht="17" customHeight="1" spans="1:16">
      <c r="A97" s="89" t="s">
        <v>2206</v>
      </c>
      <c r="B97" s="90" t="s">
        <v>2207</v>
      </c>
      <c r="C97" s="106">
        <f t="shared" si="8"/>
        <v>3282.178172</v>
      </c>
      <c r="D97" s="106"/>
      <c r="E97" s="106"/>
      <c r="F97" s="106"/>
      <c r="G97" s="106"/>
      <c r="H97" s="106">
        <v>2860.708352</v>
      </c>
      <c r="I97" s="106">
        <v>9</v>
      </c>
      <c r="J97" s="106"/>
      <c r="K97" s="106">
        <v>412.46982</v>
      </c>
      <c r="L97" s="106"/>
      <c r="M97" s="106"/>
      <c r="N97" s="106"/>
      <c r="O97" s="106"/>
      <c r="P97" s="69" t="s">
        <v>578</v>
      </c>
    </row>
    <row r="98" ht="17" customHeight="1" spans="1:16">
      <c r="A98" s="89" t="s">
        <v>2208</v>
      </c>
      <c r="B98" s="90" t="s">
        <v>2209</v>
      </c>
      <c r="C98" s="106">
        <f t="shared" si="8"/>
        <v>759.80127</v>
      </c>
      <c r="D98" s="106"/>
      <c r="E98" s="106"/>
      <c r="F98" s="106"/>
      <c r="G98" s="106"/>
      <c r="H98" s="106">
        <v>513.67027</v>
      </c>
      <c r="I98" s="106">
        <v>0.9</v>
      </c>
      <c r="J98" s="106">
        <v>200</v>
      </c>
      <c r="K98" s="106">
        <v>45.231</v>
      </c>
      <c r="L98" s="106"/>
      <c r="M98" s="106"/>
      <c r="N98" s="106"/>
      <c r="O98" s="106"/>
      <c r="P98" s="69" t="s">
        <v>578</v>
      </c>
    </row>
    <row r="99" ht="17" customHeight="1" spans="1:16">
      <c r="A99" s="89" t="s">
        <v>2210</v>
      </c>
      <c r="B99" s="90" t="s">
        <v>713</v>
      </c>
      <c r="C99" s="106">
        <f t="shared" si="8"/>
        <v>1900.757813</v>
      </c>
      <c r="D99" s="106"/>
      <c r="E99" s="106"/>
      <c r="F99" s="106"/>
      <c r="G99" s="106"/>
      <c r="H99" s="106">
        <v>1250.317977</v>
      </c>
      <c r="I99" s="106">
        <v>613.04</v>
      </c>
      <c r="J99" s="106"/>
      <c r="K99" s="106">
        <v>37.399836</v>
      </c>
      <c r="L99" s="106"/>
      <c r="M99" s="106"/>
      <c r="N99" s="106"/>
      <c r="O99" s="106"/>
      <c r="P99" s="69" t="s">
        <v>578</v>
      </c>
    </row>
    <row r="100" ht="17" customHeight="1" spans="1:16">
      <c r="A100" s="89" t="s">
        <v>2211</v>
      </c>
      <c r="B100" s="90" t="s">
        <v>714</v>
      </c>
      <c r="C100" s="106">
        <f t="shared" si="8"/>
        <v>533.796521</v>
      </c>
      <c r="D100" s="106"/>
      <c r="E100" s="106"/>
      <c r="F100" s="106"/>
      <c r="G100" s="106"/>
      <c r="H100" s="106">
        <v>475.540021</v>
      </c>
      <c r="I100" s="106">
        <v>1</v>
      </c>
      <c r="J100" s="106"/>
      <c r="K100" s="106">
        <v>57.2565</v>
      </c>
      <c r="L100" s="106"/>
      <c r="M100" s="106"/>
      <c r="N100" s="106"/>
      <c r="O100" s="106"/>
      <c r="P100" s="69" t="s">
        <v>578</v>
      </c>
    </row>
    <row r="101" ht="17" customHeight="1" spans="1:16">
      <c r="A101" s="89" t="s">
        <v>2212</v>
      </c>
      <c r="B101" s="90" t="s">
        <v>715</v>
      </c>
      <c r="C101" s="106">
        <f t="shared" si="8"/>
        <v>4094.315689</v>
      </c>
      <c r="D101" s="106">
        <v>862.131635</v>
      </c>
      <c r="E101" s="106">
        <v>3103.588204</v>
      </c>
      <c r="F101" s="106">
        <v>10</v>
      </c>
      <c r="G101" s="106"/>
      <c r="H101" s="106">
        <v>108.8112</v>
      </c>
      <c r="I101" s="106"/>
      <c r="J101" s="106"/>
      <c r="K101" s="106">
        <v>9.78465</v>
      </c>
      <c r="L101" s="106"/>
      <c r="M101" s="106"/>
      <c r="N101" s="106"/>
      <c r="O101" s="106"/>
      <c r="P101" s="69" t="s">
        <v>578</v>
      </c>
    </row>
    <row r="102" ht="17" customHeight="1" spans="1:16">
      <c r="A102" s="89" t="s">
        <v>2213</v>
      </c>
      <c r="B102" s="90" t="s">
        <v>716</v>
      </c>
      <c r="C102" s="106">
        <f t="shared" si="8"/>
        <v>652.514293</v>
      </c>
      <c r="D102" s="106"/>
      <c r="E102" s="106"/>
      <c r="F102" s="106"/>
      <c r="G102" s="106"/>
      <c r="H102" s="106">
        <v>632.100793</v>
      </c>
      <c r="I102" s="106">
        <v>17.4</v>
      </c>
      <c r="J102" s="106"/>
      <c r="K102" s="106">
        <v>3.0135</v>
      </c>
      <c r="L102" s="106"/>
      <c r="M102" s="106"/>
      <c r="N102" s="106"/>
      <c r="O102" s="106"/>
      <c r="P102" s="69" t="s">
        <v>578</v>
      </c>
    </row>
    <row r="103" ht="17" customHeight="1" spans="1:16">
      <c r="A103" s="89" t="s">
        <v>2214</v>
      </c>
      <c r="B103" s="90" t="s">
        <v>717</v>
      </c>
      <c r="C103" s="106">
        <f t="shared" si="8"/>
        <v>2265.860927</v>
      </c>
      <c r="D103" s="106">
        <v>1494.149123</v>
      </c>
      <c r="E103" s="106">
        <v>618.569848</v>
      </c>
      <c r="F103" s="106">
        <v>20</v>
      </c>
      <c r="G103" s="106"/>
      <c r="H103" s="106">
        <v>93.055776</v>
      </c>
      <c r="I103" s="106"/>
      <c r="J103" s="106"/>
      <c r="K103" s="106">
        <v>40.08618</v>
      </c>
      <c r="L103" s="106"/>
      <c r="M103" s="106"/>
      <c r="N103" s="106"/>
      <c r="O103" s="106"/>
      <c r="P103" s="69" t="s">
        <v>578</v>
      </c>
    </row>
    <row r="104" ht="17" customHeight="1" spans="1:16">
      <c r="A104" s="108"/>
      <c r="B104" s="105" t="s">
        <v>2661</v>
      </c>
      <c r="C104" s="109">
        <f t="shared" ref="C104:O104" si="9">SUM(C105:C108)</f>
        <v>13121.080681</v>
      </c>
      <c r="D104" s="109">
        <f t="shared" si="9"/>
        <v>7868.575847</v>
      </c>
      <c r="E104" s="109">
        <f t="shared" si="9"/>
        <v>2767.093503</v>
      </c>
      <c r="F104" s="109">
        <f t="shared" si="9"/>
        <v>484.56</v>
      </c>
      <c r="G104" s="109">
        <f t="shared" si="9"/>
        <v>0</v>
      </c>
      <c r="H104" s="109">
        <f t="shared" si="9"/>
        <v>1283.412711</v>
      </c>
      <c r="I104" s="109">
        <f t="shared" si="9"/>
        <v>176.39</v>
      </c>
      <c r="J104" s="109">
        <f t="shared" si="9"/>
        <v>0</v>
      </c>
      <c r="K104" s="109">
        <f t="shared" si="9"/>
        <v>541.04862</v>
      </c>
      <c r="L104" s="109">
        <f t="shared" si="9"/>
        <v>0</v>
      </c>
      <c r="M104" s="109">
        <f t="shared" si="9"/>
        <v>0</v>
      </c>
      <c r="N104" s="109">
        <f t="shared" si="9"/>
        <v>0</v>
      </c>
      <c r="O104" s="109">
        <f t="shared" si="9"/>
        <v>0</v>
      </c>
      <c r="P104" s="69" t="s">
        <v>578</v>
      </c>
    </row>
    <row r="105" ht="17" customHeight="1" spans="1:16">
      <c r="A105" s="89" t="s">
        <v>719</v>
      </c>
      <c r="B105" s="90" t="s">
        <v>1086</v>
      </c>
      <c r="C105" s="106">
        <f t="shared" ref="C105:C108" si="10">SUM(D105:O105)</f>
        <v>12694.24997</v>
      </c>
      <c r="D105" s="106">
        <v>7868.575847</v>
      </c>
      <c r="E105" s="106">
        <v>2767.093503</v>
      </c>
      <c r="F105" s="106">
        <v>484.56</v>
      </c>
      <c r="G105" s="106"/>
      <c r="H105" s="106">
        <v>1032.972</v>
      </c>
      <c r="I105" s="106"/>
      <c r="J105" s="106"/>
      <c r="K105" s="106">
        <v>541.04862</v>
      </c>
      <c r="L105" s="106"/>
      <c r="M105" s="106"/>
      <c r="N105" s="106"/>
      <c r="O105" s="106"/>
      <c r="P105" s="69" t="s">
        <v>578</v>
      </c>
    </row>
    <row r="106" ht="16.5" hidden="1" spans="1:15">
      <c r="A106" s="89" t="s">
        <v>721</v>
      </c>
      <c r="B106" s="90" t="s">
        <v>2662</v>
      </c>
      <c r="C106" s="110">
        <f t="shared" si="10"/>
        <v>50</v>
      </c>
      <c r="D106" s="110"/>
      <c r="E106" s="110"/>
      <c r="F106" s="110"/>
      <c r="G106" s="110"/>
      <c r="H106" s="110">
        <v>50</v>
      </c>
      <c r="I106" s="110"/>
      <c r="J106" s="110"/>
      <c r="K106" s="110"/>
      <c r="L106" s="110"/>
      <c r="M106" s="110"/>
      <c r="N106" s="110"/>
      <c r="O106" s="110"/>
    </row>
    <row r="107" ht="16.5" hidden="1" spans="1:15">
      <c r="A107" s="89" t="s">
        <v>723</v>
      </c>
      <c r="B107" s="90" t="s">
        <v>2663</v>
      </c>
      <c r="C107" s="110">
        <f t="shared" si="10"/>
        <v>175.39</v>
      </c>
      <c r="D107" s="110"/>
      <c r="E107" s="110"/>
      <c r="F107" s="110"/>
      <c r="G107" s="110"/>
      <c r="H107" s="110"/>
      <c r="I107" s="110">
        <v>175.39</v>
      </c>
      <c r="J107" s="110"/>
      <c r="K107" s="110"/>
      <c r="L107" s="110"/>
      <c r="M107" s="110"/>
      <c r="N107" s="110"/>
      <c r="O107" s="110"/>
    </row>
    <row r="108" ht="17" customHeight="1" spans="1:16">
      <c r="A108" s="89" t="s">
        <v>725</v>
      </c>
      <c r="B108" s="90" t="s">
        <v>726</v>
      </c>
      <c r="C108" s="106">
        <f t="shared" si="10"/>
        <v>201.440711</v>
      </c>
      <c r="D108" s="106"/>
      <c r="E108" s="106"/>
      <c r="F108" s="106"/>
      <c r="G108" s="106"/>
      <c r="H108" s="106">
        <v>200.440711</v>
      </c>
      <c r="I108" s="106">
        <v>1</v>
      </c>
      <c r="J108" s="106"/>
      <c r="K108" s="106"/>
      <c r="L108" s="106"/>
      <c r="M108" s="106"/>
      <c r="N108" s="106"/>
      <c r="O108" s="106"/>
      <c r="P108" s="69" t="s">
        <v>578</v>
      </c>
    </row>
    <row r="109" ht="17" customHeight="1" spans="1:16">
      <c r="A109" s="108"/>
      <c r="B109" s="105" t="s">
        <v>727</v>
      </c>
      <c r="C109" s="109">
        <f t="shared" ref="C109:O109" si="11">SUM(C110:C117)</f>
        <v>7533.996939</v>
      </c>
      <c r="D109" s="109">
        <f t="shared" si="11"/>
        <v>782.327459</v>
      </c>
      <c r="E109" s="109">
        <f t="shared" si="11"/>
        <v>182.917216</v>
      </c>
      <c r="F109" s="109">
        <f t="shared" si="11"/>
        <v>7.5</v>
      </c>
      <c r="G109" s="109">
        <f t="shared" si="11"/>
        <v>0</v>
      </c>
      <c r="H109" s="109">
        <f t="shared" si="11"/>
        <v>3394.763724</v>
      </c>
      <c r="I109" s="109">
        <f t="shared" si="11"/>
        <v>45.9</v>
      </c>
      <c r="J109" s="109">
        <f t="shared" si="11"/>
        <v>2530.5</v>
      </c>
      <c r="K109" s="109">
        <f t="shared" si="11"/>
        <v>590.08854</v>
      </c>
      <c r="L109" s="109">
        <f t="shared" si="11"/>
        <v>0</v>
      </c>
      <c r="M109" s="109">
        <f t="shared" si="11"/>
        <v>0</v>
      </c>
      <c r="N109" s="109">
        <f t="shared" si="11"/>
        <v>0</v>
      </c>
      <c r="O109" s="109">
        <f t="shared" si="11"/>
        <v>0</v>
      </c>
      <c r="P109" s="69" t="s">
        <v>578</v>
      </c>
    </row>
    <row r="110" ht="17" customHeight="1" spans="1:16">
      <c r="A110" s="89" t="s">
        <v>2217</v>
      </c>
      <c r="B110" s="90" t="s">
        <v>728</v>
      </c>
      <c r="C110" s="106">
        <f t="shared" ref="C110:C117" si="12">SUM(D110:O110)</f>
        <v>522.720461</v>
      </c>
      <c r="D110" s="111">
        <v>365.197587</v>
      </c>
      <c r="E110" s="111">
        <v>66.219204</v>
      </c>
      <c r="F110" s="111">
        <v>7.5</v>
      </c>
      <c r="G110" s="111"/>
      <c r="H110" s="111">
        <v>13.8288</v>
      </c>
      <c r="I110" s="111"/>
      <c r="J110" s="111">
        <v>30.5</v>
      </c>
      <c r="K110" s="111">
        <v>39.47487</v>
      </c>
      <c r="L110" s="111"/>
      <c r="M110" s="111"/>
      <c r="N110" s="111"/>
      <c r="O110" s="111"/>
      <c r="P110" s="69" t="s">
        <v>578</v>
      </c>
    </row>
    <row r="111" ht="17" customHeight="1" spans="1:16">
      <c r="A111" s="89" t="s">
        <v>2218</v>
      </c>
      <c r="B111" s="90" t="s">
        <v>729</v>
      </c>
      <c r="C111" s="106">
        <f t="shared" si="12"/>
        <v>376.77459</v>
      </c>
      <c r="D111" s="111"/>
      <c r="E111" s="111"/>
      <c r="F111" s="111"/>
      <c r="G111" s="111"/>
      <c r="H111" s="111">
        <v>241.80363</v>
      </c>
      <c r="I111" s="111"/>
      <c r="J111" s="111"/>
      <c r="K111" s="111">
        <v>134.97096</v>
      </c>
      <c r="L111" s="111"/>
      <c r="M111" s="111"/>
      <c r="N111" s="111"/>
      <c r="O111" s="111"/>
      <c r="P111" s="69" t="s">
        <v>578</v>
      </c>
    </row>
    <row r="112" ht="17" customHeight="1" spans="1:16">
      <c r="A112" s="89" t="s">
        <v>2219</v>
      </c>
      <c r="B112" s="90" t="s">
        <v>730</v>
      </c>
      <c r="C112" s="106">
        <f t="shared" si="12"/>
        <v>544.00277</v>
      </c>
      <c r="D112" s="111"/>
      <c r="E112" s="111"/>
      <c r="F112" s="111"/>
      <c r="G112" s="111"/>
      <c r="H112" s="111">
        <v>544.00277</v>
      </c>
      <c r="I112" s="111"/>
      <c r="J112" s="111"/>
      <c r="K112" s="111"/>
      <c r="L112" s="111"/>
      <c r="M112" s="111"/>
      <c r="N112" s="111"/>
      <c r="O112" s="111"/>
      <c r="P112" s="69" t="s">
        <v>578</v>
      </c>
    </row>
    <row r="113" ht="17" customHeight="1" spans="1:16">
      <c r="A113" s="89" t="s">
        <v>2220</v>
      </c>
      <c r="B113" s="90" t="s">
        <v>731</v>
      </c>
      <c r="C113" s="106">
        <f t="shared" si="12"/>
        <v>463.959602</v>
      </c>
      <c r="D113" s="111"/>
      <c r="E113" s="111"/>
      <c r="F113" s="111"/>
      <c r="G113" s="111"/>
      <c r="H113" s="111">
        <v>344.945702</v>
      </c>
      <c r="I113" s="111">
        <v>0.9</v>
      </c>
      <c r="J113" s="111"/>
      <c r="K113" s="111">
        <v>118.1139</v>
      </c>
      <c r="L113" s="111"/>
      <c r="M113" s="111"/>
      <c r="N113" s="111"/>
      <c r="O113" s="111"/>
      <c r="P113" s="94" t="s">
        <v>578</v>
      </c>
    </row>
    <row r="114" ht="17" customHeight="1" spans="1:16">
      <c r="A114" s="89" t="s">
        <v>2221</v>
      </c>
      <c r="B114" s="90" t="s">
        <v>732</v>
      </c>
      <c r="C114" s="106">
        <f t="shared" si="12"/>
        <v>1024.967907</v>
      </c>
      <c r="D114" s="111"/>
      <c r="E114" s="111"/>
      <c r="F114" s="111"/>
      <c r="G114" s="111"/>
      <c r="H114" s="111">
        <v>1024.967907</v>
      </c>
      <c r="I114" s="111"/>
      <c r="J114" s="111"/>
      <c r="K114" s="111"/>
      <c r="L114" s="111"/>
      <c r="M114" s="111"/>
      <c r="N114" s="111"/>
      <c r="O114" s="111"/>
      <c r="P114" s="69" t="s">
        <v>578</v>
      </c>
    </row>
    <row r="115" ht="17" customHeight="1" spans="1:16">
      <c r="A115" s="89" t="s">
        <v>2222</v>
      </c>
      <c r="B115" s="90" t="s">
        <v>733</v>
      </c>
      <c r="C115" s="106">
        <f t="shared" si="12"/>
        <v>993.673988</v>
      </c>
      <c r="D115" s="111"/>
      <c r="E115" s="111"/>
      <c r="F115" s="111"/>
      <c r="G115" s="111"/>
      <c r="H115" s="111">
        <v>924.565988</v>
      </c>
      <c r="I115" s="111">
        <v>45</v>
      </c>
      <c r="J115" s="111"/>
      <c r="K115" s="111">
        <v>24.108</v>
      </c>
      <c r="L115" s="111"/>
      <c r="M115" s="111"/>
      <c r="N115" s="111"/>
      <c r="O115" s="111"/>
      <c r="P115" s="69" t="s">
        <v>578</v>
      </c>
    </row>
    <row r="116" ht="17" customHeight="1" spans="1:16">
      <c r="A116" s="89" t="s">
        <v>2223</v>
      </c>
      <c r="B116" s="90" t="s">
        <v>734</v>
      </c>
      <c r="C116" s="106">
        <f t="shared" si="12"/>
        <v>3122.682394</v>
      </c>
      <c r="D116" s="111">
        <v>417.129872</v>
      </c>
      <c r="E116" s="111">
        <v>116.698012</v>
      </c>
      <c r="F116" s="111"/>
      <c r="G116" s="111"/>
      <c r="H116" s="111">
        <v>23.2992</v>
      </c>
      <c r="I116" s="111"/>
      <c r="J116" s="111">
        <v>2500</v>
      </c>
      <c r="K116" s="111">
        <v>65.55531</v>
      </c>
      <c r="L116" s="111"/>
      <c r="M116" s="111"/>
      <c r="N116" s="111"/>
      <c r="O116" s="111"/>
      <c r="P116" s="69" t="s">
        <v>578</v>
      </c>
    </row>
    <row r="117" ht="17" customHeight="1" spans="1:16">
      <c r="A117" s="89" t="s">
        <v>2224</v>
      </c>
      <c r="B117" s="90" t="s">
        <v>735</v>
      </c>
      <c r="C117" s="106">
        <f t="shared" si="12"/>
        <v>485.215227</v>
      </c>
      <c r="D117" s="111"/>
      <c r="E117" s="111"/>
      <c r="F117" s="111"/>
      <c r="G117" s="111"/>
      <c r="H117" s="111">
        <v>277.349727</v>
      </c>
      <c r="I117" s="111"/>
      <c r="J117" s="111"/>
      <c r="K117" s="111">
        <v>207.8655</v>
      </c>
      <c r="L117" s="111"/>
      <c r="M117" s="111"/>
      <c r="N117" s="111"/>
      <c r="O117" s="111"/>
      <c r="P117" s="69" t="s">
        <v>578</v>
      </c>
    </row>
    <row r="118" ht="17" customHeight="1" spans="1:16">
      <c r="A118" s="108"/>
      <c r="B118" s="105" t="s">
        <v>736</v>
      </c>
      <c r="C118" s="109">
        <f t="shared" ref="C118:O118" si="13">SUM(C119:C185)</f>
        <v>148869.46939</v>
      </c>
      <c r="D118" s="109">
        <f t="shared" si="13"/>
        <v>1743.0183</v>
      </c>
      <c r="E118" s="109">
        <f t="shared" si="13"/>
        <v>1441.547498</v>
      </c>
      <c r="F118" s="109">
        <f t="shared" si="13"/>
        <v>3778.98</v>
      </c>
      <c r="G118" s="109">
        <f t="shared" si="13"/>
        <v>0</v>
      </c>
      <c r="H118" s="109">
        <f t="shared" si="13"/>
        <v>132870.59761</v>
      </c>
      <c r="I118" s="109">
        <f t="shared" si="13"/>
        <v>1749.0078</v>
      </c>
      <c r="J118" s="109">
        <f t="shared" si="13"/>
        <v>0</v>
      </c>
      <c r="K118" s="109">
        <f t="shared" si="13"/>
        <v>7166.318182</v>
      </c>
      <c r="L118" s="109">
        <f t="shared" si="13"/>
        <v>0</v>
      </c>
      <c r="M118" s="109">
        <f t="shared" si="13"/>
        <v>0</v>
      </c>
      <c r="N118" s="109">
        <f t="shared" si="13"/>
        <v>0</v>
      </c>
      <c r="O118" s="109">
        <f t="shared" si="13"/>
        <v>120</v>
      </c>
      <c r="P118" s="69" t="s">
        <v>578</v>
      </c>
    </row>
    <row r="119" ht="17" customHeight="1" spans="1:16">
      <c r="A119" s="89" t="s">
        <v>1087</v>
      </c>
      <c r="B119" s="90" t="s">
        <v>737</v>
      </c>
      <c r="C119" s="106">
        <f t="shared" ref="C119:C182" si="14">SUM(D119:O119)</f>
        <v>383.315409</v>
      </c>
      <c r="D119" s="106">
        <v>269.536409</v>
      </c>
      <c r="E119" s="106">
        <v>42.10453</v>
      </c>
      <c r="F119" s="106"/>
      <c r="G119" s="106"/>
      <c r="H119" s="106">
        <v>11.3556</v>
      </c>
      <c r="I119" s="106"/>
      <c r="J119" s="106"/>
      <c r="K119" s="106">
        <v>60.31887</v>
      </c>
      <c r="L119" s="106"/>
      <c r="M119" s="106"/>
      <c r="N119" s="106"/>
      <c r="O119" s="106"/>
      <c r="P119" s="69" t="s">
        <v>578</v>
      </c>
    </row>
    <row r="120" ht="17" customHeight="1" spans="1:16">
      <c r="A120" s="89" t="s">
        <v>1088</v>
      </c>
      <c r="B120" s="90" t="s">
        <v>738</v>
      </c>
      <c r="C120" s="106">
        <f t="shared" si="14"/>
        <v>2125.557169</v>
      </c>
      <c r="D120" s="106">
        <v>359.812357</v>
      </c>
      <c r="E120" s="106">
        <v>996.593742</v>
      </c>
      <c r="F120" s="106">
        <v>663</v>
      </c>
      <c r="G120" s="106"/>
      <c r="H120" s="106">
        <v>4.3152</v>
      </c>
      <c r="I120" s="106"/>
      <c r="J120" s="106"/>
      <c r="K120" s="106">
        <v>101.83587</v>
      </c>
      <c r="L120" s="106"/>
      <c r="M120" s="106"/>
      <c r="N120" s="106"/>
      <c r="O120" s="106"/>
      <c r="P120" s="69" t="s">
        <v>578</v>
      </c>
    </row>
    <row r="121" ht="17" customHeight="1" spans="1:16">
      <c r="A121" s="89" t="s">
        <v>1089</v>
      </c>
      <c r="B121" s="90" t="s">
        <v>739</v>
      </c>
      <c r="C121" s="106">
        <f t="shared" si="14"/>
        <v>388.358238</v>
      </c>
      <c r="D121" s="106"/>
      <c r="E121" s="106"/>
      <c r="F121" s="106"/>
      <c r="G121" s="106"/>
      <c r="H121" s="106">
        <v>375.598238</v>
      </c>
      <c r="I121" s="106">
        <v>1</v>
      </c>
      <c r="J121" s="106"/>
      <c r="K121" s="106">
        <v>11.76</v>
      </c>
      <c r="L121" s="106"/>
      <c r="M121" s="106"/>
      <c r="N121" s="106"/>
      <c r="O121" s="106"/>
      <c r="P121" s="94" t="s">
        <v>578</v>
      </c>
    </row>
    <row r="122" ht="17" customHeight="1" spans="1:16">
      <c r="A122" s="89" t="s">
        <v>1091</v>
      </c>
      <c r="B122" s="90" t="s">
        <v>740</v>
      </c>
      <c r="C122" s="106">
        <f t="shared" si="14"/>
        <v>428.270902</v>
      </c>
      <c r="D122" s="106"/>
      <c r="E122" s="106"/>
      <c r="F122" s="106"/>
      <c r="G122" s="106"/>
      <c r="H122" s="106">
        <v>395.122402</v>
      </c>
      <c r="I122" s="106"/>
      <c r="J122" s="106"/>
      <c r="K122" s="106">
        <v>33.1485</v>
      </c>
      <c r="L122" s="106"/>
      <c r="M122" s="106"/>
      <c r="N122" s="106"/>
      <c r="O122" s="106"/>
      <c r="P122" s="69" t="s">
        <v>578</v>
      </c>
    </row>
    <row r="123" ht="17" customHeight="1" spans="1:16">
      <c r="A123" s="89" t="s">
        <v>1092</v>
      </c>
      <c r="B123" s="90" t="s">
        <v>741</v>
      </c>
      <c r="C123" s="106">
        <f t="shared" si="14"/>
        <v>141.67911</v>
      </c>
      <c r="D123" s="106"/>
      <c r="E123" s="106"/>
      <c r="F123" s="106"/>
      <c r="G123" s="106"/>
      <c r="H123" s="106">
        <v>132.63861</v>
      </c>
      <c r="I123" s="106"/>
      <c r="J123" s="106"/>
      <c r="K123" s="106">
        <v>9.0405</v>
      </c>
      <c r="L123" s="106"/>
      <c r="M123" s="106"/>
      <c r="N123" s="106"/>
      <c r="O123" s="106"/>
      <c r="P123" s="69" t="s">
        <v>578</v>
      </c>
    </row>
    <row r="124" ht="17" customHeight="1" spans="1:16">
      <c r="A124" s="89" t="s">
        <v>1093</v>
      </c>
      <c r="B124" s="90" t="s">
        <v>742</v>
      </c>
      <c r="C124" s="106">
        <f t="shared" si="14"/>
        <v>390.393842</v>
      </c>
      <c r="D124" s="106"/>
      <c r="E124" s="106"/>
      <c r="F124" s="106"/>
      <c r="G124" s="106"/>
      <c r="H124" s="106">
        <v>342.177842</v>
      </c>
      <c r="I124" s="106"/>
      <c r="J124" s="106"/>
      <c r="K124" s="106">
        <v>48.216</v>
      </c>
      <c r="L124" s="106"/>
      <c r="M124" s="106"/>
      <c r="N124" s="106"/>
      <c r="O124" s="106"/>
      <c r="P124" s="69" t="s">
        <v>578</v>
      </c>
    </row>
    <row r="125" ht="17" customHeight="1" spans="1:16">
      <c r="A125" s="89" t="s">
        <v>1094</v>
      </c>
      <c r="B125" s="90" t="s">
        <v>743</v>
      </c>
      <c r="C125" s="106">
        <f t="shared" si="14"/>
        <v>1043.509753</v>
      </c>
      <c r="D125" s="106"/>
      <c r="E125" s="106"/>
      <c r="F125" s="106"/>
      <c r="G125" s="106"/>
      <c r="H125" s="106">
        <v>941.022253</v>
      </c>
      <c r="I125" s="106"/>
      <c r="J125" s="106"/>
      <c r="K125" s="106">
        <v>102.4875</v>
      </c>
      <c r="L125" s="106"/>
      <c r="M125" s="106"/>
      <c r="N125" s="106"/>
      <c r="O125" s="106"/>
      <c r="P125" s="69" t="s">
        <v>578</v>
      </c>
    </row>
    <row r="126" ht="17" customHeight="1" spans="1:16">
      <c r="A126" s="89" t="s">
        <v>1095</v>
      </c>
      <c r="B126" s="90" t="s">
        <v>744</v>
      </c>
      <c r="C126" s="106">
        <f t="shared" si="14"/>
        <v>173.591753</v>
      </c>
      <c r="D126" s="106"/>
      <c r="E126" s="106"/>
      <c r="F126" s="106"/>
      <c r="G126" s="106"/>
      <c r="H126" s="106">
        <v>155.410753</v>
      </c>
      <c r="I126" s="106">
        <v>0.1</v>
      </c>
      <c r="J126" s="106"/>
      <c r="K126" s="106">
        <v>18.081</v>
      </c>
      <c r="L126" s="106"/>
      <c r="M126" s="106"/>
      <c r="N126" s="106"/>
      <c r="O126" s="106"/>
      <c r="P126" s="69" t="s">
        <v>578</v>
      </c>
    </row>
    <row r="127" ht="17" customHeight="1" spans="1:16">
      <c r="A127" s="89" t="s">
        <v>1096</v>
      </c>
      <c r="B127" s="90" t="s">
        <v>745</v>
      </c>
      <c r="C127" s="106">
        <f t="shared" si="14"/>
        <v>749.069164</v>
      </c>
      <c r="D127" s="106"/>
      <c r="E127" s="106"/>
      <c r="F127" s="106"/>
      <c r="G127" s="106"/>
      <c r="H127" s="106">
        <v>733.042164</v>
      </c>
      <c r="I127" s="106">
        <v>10</v>
      </c>
      <c r="J127" s="106"/>
      <c r="K127" s="106">
        <v>6.027</v>
      </c>
      <c r="L127" s="106"/>
      <c r="M127" s="106"/>
      <c r="N127" s="106"/>
      <c r="O127" s="106"/>
      <c r="P127" s="69" t="s">
        <v>578</v>
      </c>
    </row>
    <row r="128" ht="17" customHeight="1" spans="1:16">
      <c r="A128" s="89" t="s">
        <v>1097</v>
      </c>
      <c r="B128" s="90" t="s">
        <v>746</v>
      </c>
      <c r="C128" s="106">
        <f t="shared" si="14"/>
        <v>3107.919889</v>
      </c>
      <c r="D128" s="106"/>
      <c r="E128" s="106"/>
      <c r="F128" s="106"/>
      <c r="G128" s="106"/>
      <c r="H128" s="106">
        <v>2971.325389</v>
      </c>
      <c r="I128" s="106">
        <v>6</v>
      </c>
      <c r="J128" s="106"/>
      <c r="K128" s="106">
        <v>130.5945</v>
      </c>
      <c r="L128" s="106"/>
      <c r="M128" s="106"/>
      <c r="N128" s="106"/>
      <c r="O128" s="106"/>
      <c r="P128" s="69" t="s">
        <v>578</v>
      </c>
    </row>
    <row r="129" ht="17" customHeight="1" spans="1:16">
      <c r="A129" s="89" t="s">
        <v>1098</v>
      </c>
      <c r="B129" s="90" t="s">
        <v>747</v>
      </c>
      <c r="C129" s="106">
        <f t="shared" si="14"/>
        <v>3554.98443</v>
      </c>
      <c r="D129" s="106">
        <v>332.143794</v>
      </c>
      <c r="E129" s="106">
        <v>36.625356</v>
      </c>
      <c r="F129" s="106">
        <v>3111.48</v>
      </c>
      <c r="G129" s="106"/>
      <c r="H129" s="106"/>
      <c r="I129" s="106"/>
      <c r="J129" s="106"/>
      <c r="K129" s="106">
        <v>74.73528</v>
      </c>
      <c r="L129" s="106"/>
      <c r="M129" s="106"/>
      <c r="N129" s="106"/>
      <c r="O129" s="106"/>
      <c r="P129" s="69" t="s">
        <v>578</v>
      </c>
    </row>
    <row r="130" ht="17" customHeight="1" spans="1:16">
      <c r="A130" s="89" t="s">
        <v>1099</v>
      </c>
      <c r="B130" s="90" t="s">
        <v>748</v>
      </c>
      <c r="C130" s="106">
        <f t="shared" si="14"/>
        <v>1009.913407</v>
      </c>
      <c r="D130" s="106"/>
      <c r="E130" s="106"/>
      <c r="F130" s="106"/>
      <c r="G130" s="106"/>
      <c r="H130" s="106">
        <v>156.679407</v>
      </c>
      <c r="I130" s="106">
        <v>835</v>
      </c>
      <c r="J130" s="106"/>
      <c r="K130" s="106">
        <v>18.234</v>
      </c>
      <c r="L130" s="106"/>
      <c r="M130" s="106"/>
      <c r="N130" s="106"/>
      <c r="O130" s="106"/>
      <c r="P130" s="69" t="s">
        <v>578</v>
      </c>
    </row>
    <row r="131" ht="17" customHeight="1" spans="1:16">
      <c r="A131" s="89" t="s">
        <v>1100</v>
      </c>
      <c r="B131" s="90" t="s">
        <v>2225</v>
      </c>
      <c r="C131" s="106">
        <f t="shared" si="14"/>
        <v>255.551932</v>
      </c>
      <c r="D131" s="106"/>
      <c r="E131" s="106"/>
      <c r="F131" s="106"/>
      <c r="G131" s="106"/>
      <c r="H131" s="106">
        <v>127.021932</v>
      </c>
      <c r="I131" s="106">
        <v>115</v>
      </c>
      <c r="J131" s="106"/>
      <c r="K131" s="106">
        <v>13.53</v>
      </c>
      <c r="L131" s="106"/>
      <c r="M131" s="106"/>
      <c r="N131" s="106"/>
      <c r="O131" s="106"/>
      <c r="P131" s="94" t="s">
        <v>578</v>
      </c>
    </row>
    <row r="132" ht="17" customHeight="1" spans="1:16">
      <c r="A132" s="89" t="s">
        <v>1101</v>
      </c>
      <c r="B132" s="90" t="s">
        <v>2226</v>
      </c>
      <c r="C132" s="106">
        <f t="shared" si="14"/>
        <v>601.006641</v>
      </c>
      <c r="D132" s="106"/>
      <c r="E132" s="106"/>
      <c r="F132" s="106"/>
      <c r="G132" s="106"/>
      <c r="H132" s="106">
        <v>569.026641</v>
      </c>
      <c r="I132" s="106"/>
      <c r="J132" s="106"/>
      <c r="K132" s="106">
        <v>31.98</v>
      </c>
      <c r="L132" s="106"/>
      <c r="M132" s="106"/>
      <c r="N132" s="106"/>
      <c r="O132" s="106"/>
      <c r="P132" s="69" t="s">
        <v>578</v>
      </c>
    </row>
    <row r="133" ht="17" customHeight="1" spans="1:16">
      <c r="A133" s="89" t="s">
        <v>1102</v>
      </c>
      <c r="B133" s="90" t="s">
        <v>2227</v>
      </c>
      <c r="C133" s="106">
        <f t="shared" si="14"/>
        <v>379.170151</v>
      </c>
      <c r="D133" s="106"/>
      <c r="E133" s="106"/>
      <c r="F133" s="106"/>
      <c r="G133" s="106"/>
      <c r="H133" s="106">
        <v>243.226151</v>
      </c>
      <c r="I133" s="106">
        <v>102.95</v>
      </c>
      <c r="J133" s="106"/>
      <c r="K133" s="106">
        <v>32.994</v>
      </c>
      <c r="L133" s="106"/>
      <c r="M133" s="106"/>
      <c r="N133" s="106"/>
      <c r="O133" s="106"/>
      <c r="P133" s="69" t="s">
        <v>578</v>
      </c>
    </row>
    <row r="134" ht="17" customHeight="1" spans="1:16">
      <c r="A134" s="89" t="s">
        <v>1103</v>
      </c>
      <c r="B134" s="90" t="s">
        <v>752</v>
      </c>
      <c r="C134" s="106">
        <f t="shared" si="14"/>
        <v>181.518528</v>
      </c>
      <c r="D134" s="106"/>
      <c r="E134" s="106"/>
      <c r="F134" s="106"/>
      <c r="G134" s="106"/>
      <c r="H134" s="106">
        <v>180.288528</v>
      </c>
      <c r="I134" s="106"/>
      <c r="J134" s="106"/>
      <c r="K134" s="106">
        <v>1.23</v>
      </c>
      <c r="L134" s="106"/>
      <c r="M134" s="106"/>
      <c r="N134" s="106"/>
      <c r="O134" s="106"/>
      <c r="P134" s="69" t="s">
        <v>578</v>
      </c>
    </row>
    <row r="135" ht="17" customHeight="1" spans="1:16">
      <c r="A135" s="89" t="s">
        <v>1104</v>
      </c>
      <c r="B135" s="90" t="s">
        <v>753</v>
      </c>
      <c r="C135" s="106">
        <f t="shared" si="14"/>
        <v>2026.660331</v>
      </c>
      <c r="D135" s="106"/>
      <c r="E135" s="106"/>
      <c r="F135" s="106"/>
      <c r="G135" s="106"/>
      <c r="H135" s="106">
        <v>1987.960331</v>
      </c>
      <c r="I135" s="106">
        <v>11.64</v>
      </c>
      <c r="J135" s="106"/>
      <c r="K135" s="106">
        <v>27.06</v>
      </c>
      <c r="L135" s="106"/>
      <c r="M135" s="106"/>
      <c r="N135" s="106"/>
      <c r="O135" s="106"/>
      <c r="P135" s="69" t="s">
        <v>578</v>
      </c>
    </row>
    <row r="136" ht="17" customHeight="1" spans="1:16">
      <c r="A136" s="89" t="s">
        <v>1105</v>
      </c>
      <c r="B136" s="90" t="s">
        <v>754</v>
      </c>
      <c r="C136" s="106">
        <f t="shared" si="14"/>
        <v>657.051481</v>
      </c>
      <c r="D136" s="106"/>
      <c r="E136" s="106"/>
      <c r="F136" s="106"/>
      <c r="G136" s="106"/>
      <c r="H136" s="106">
        <v>612.621481</v>
      </c>
      <c r="I136" s="106"/>
      <c r="J136" s="106"/>
      <c r="K136" s="106">
        <v>44.43</v>
      </c>
      <c r="L136" s="106"/>
      <c r="M136" s="106"/>
      <c r="N136" s="106"/>
      <c r="O136" s="106"/>
      <c r="P136" s="69" t="s">
        <v>578</v>
      </c>
    </row>
    <row r="137" ht="17" customHeight="1" spans="1:16">
      <c r="A137" s="89" t="s">
        <v>1107</v>
      </c>
      <c r="B137" s="90" t="s">
        <v>755</v>
      </c>
      <c r="C137" s="106">
        <f t="shared" si="14"/>
        <v>2145.714825</v>
      </c>
      <c r="D137" s="106"/>
      <c r="E137" s="106"/>
      <c r="F137" s="106"/>
      <c r="G137" s="106"/>
      <c r="H137" s="106">
        <v>2015.094825</v>
      </c>
      <c r="I137" s="106">
        <v>21</v>
      </c>
      <c r="J137" s="106"/>
      <c r="K137" s="106">
        <v>109.62</v>
      </c>
      <c r="L137" s="106"/>
      <c r="M137" s="106"/>
      <c r="N137" s="106"/>
      <c r="O137" s="106"/>
      <c r="P137" s="69" t="s">
        <v>578</v>
      </c>
    </row>
    <row r="138" ht="17" customHeight="1" spans="1:16">
      <c r="A138" s="89" t="s">
        <v>1108</v>
      </c>
      <c r="B138" s="90" t="s">
        <v>756</v>
      </c>
      <c r="C138" s="106">
        <f t="shared" si="14"/>
        <v>3405.093576</v>
      </c>
      <c r="D138" s="106"/>
      <c r="E138" s="106"/>
      <c r="F138" s="106"/>
      <c r="G138" s="106"/>
      <c r="H138" s="106">
        <v>3266.535576</v>
      </c>
      <c r="I138" s="106"/>
      <c r="J138" s="106"/>
      <c r="K138" s="106">
        <v>138.558</v>
      </c>
      <c r="L138" s="106"/>
      <c r="M138" s="106"/>
      <c r="N138" s="106"/>
      <c r="O138" s="106"/>
      <c r="P138" s="69" t="s">
        <v>578</v>
      </c>
    </row>
    <row r="139" ht="17" customHeight="1" spans="1:16">
      <c r="A139" s="89" t="s">
        <v>1109</v>
      </c>
      <c r="B139" s="90" t="s">
        <v>757</v>
      </c>
      <c r="C139" s="106">
        <f t="shared" si="14"/>
        <v>1648.155264</v>
      </c>
      <c r="D139" s="106"/>
      <c r="E139" s="106"/>
      <c r="F139" s="106"/>
      <c r="G139" s="106"/>
      <c r="H139" s="106">
        <v>1559.257264</v>
      </c>
      <c r="I139" s="106">
        <v>2</v>
      </c>
      <c r="J139" s="106"/>
      <c r="K139" s="106">
        <v>86.898</v>
      </c>
      <c r="L139" s="106"/>
      <c r="M139" s="106"/>
      <c r="N139" s="106"/>
      <c r="O139" s="106"/>
      <c r="P139" s="69" t="s">
        <v>578</v>
      </c>
    </row>
    <row r="140" ht="17" customHeight="1" spans="1:16">
      <c r="A140" s="89" t="s">
        <v>1110</v>
      </c>
      <c r="B140" s="90" t="s">
        <v>758</v>
      </c>
      <c r="C140" s="106">
        <f t="shared" si="14"/>
        <v>990.77945</v>
      </c>
      <c r="D140" s="106"/>
      <c r="E140" s="106"/>
      <c r="F140" s="106"/>
      <c r="G140" s="106"/>
      <c r="H140" s="106">
        <v>964.38145</v>
      </c>
      <c r="I140" s="106">
        <v>1</v>
      </c>
      <c r="J140" s="106"/>
      <c r="K140" s="106">
        <v>25.398</v>
      </c>
      <c r="L140" s="106"/>
      <c r="M140" s="106"/>
      <c r="N140" s="106"/>
      <c r="O140" s="106"/>
      <c r="P140" s="69" t="s">
        <v>578</v>
      </c>
    </row>
    <row r="141" ht="17" customHeight="1" spans="1:16">
      <c r="A141" s="89" t="s">
        <v>1111</v>
      </c>
      <c r="B141" s="90" t="s">
        <v>759</v>
      </c>
      <c r="C141" s="106">
        <f t="shared" si="14"/>
        <v>1926.19263</v>
      </c>
      <c r="D141" s="106"/>
      <c r="E141" s="106"/>
      <c r="F141" s="106"/>
      <c r="G141" s="106"/>
      <c r="H141" s="106">
        <v>1855.97863</v>
      </c>
      <c r="I141" s="106">
        <v>20</v>
      </c>
      <c r="J141" s="106"/>
      <c r="K141" s="106">
        <v>50.214</v>
      </c>
      <c r="L141" s="106"/>
      <c r="M141" s="106"/>
      <c r="N141" s="106"/>
      <c r="O141" s="106"/>
      <c r="P141" s="69" t="s">
        <v>578</v>
      </c>
    </row>
    <row r="142" ht="17" customHeight="1" spans="1:16">
      <c r="A142" s="89" t="s">
        <v>1112</v>
      </c>
      <c r="B142" s="90" t="s">
        <v>760</v>
      </c>
      <c r="C142" s="106">
        <f t="shared" si="14"/>
        <v>771.302463</v>
      </c>
      <c r="D142" s="106"/>
      <c r="E142" s="106"/>
      <c r="F142" s="106"/>
      <c r="G142" s="106"/>
      <c r="H142" s="106">
        <v>713.352463</v>
      </c>
      <c r="I142" s="106">
        <v>5</v>
      </c>
      <c r="J142" s="106"/>
      <c r="K142" s="106">
        <v>52.95</v>
      </c>
      <c r="L142" s="106"/>
      <c r="M142" s="106"/>
      <c r="N142" s="106"/>
      <c r="O142" s="106"/>
      <c r="P142" s="69" t="s">
        <v>578</v>
      </c>
    </row>
    <row r="143" ht="17" customHeight="1" spans="1:16">
      <c r="A143" s="89" t="s">
        <v>1113</v>
      </c>
      <c r="B143" s="90" t="s">
        <v>761</v>
      </c>
      <c r="C143" s="106">
        <f t="shared" si="14"/>
        <v>3305.212597</v>
      </c>
      <c r="D143" s="106"/>
      <c r="E143" s="106"/>
      <c r="F143" s="106"/>
      <c r="G143" s="106"/>
      <c r="H143" s="106">
        <v>3279.048597</v>
      </c>
      <c r="I143" s="106">
        <v>4.672</v>
      </c>
      <c r="J143" s="106"/>
      <c r="K143" s="106">
        <v>21.492</v>
      </c>
      <c r="L143" s="106"/>
      <c r="M143" s="106"/>
      <c r="N143" s="106"/>
      <c r="O143" s="106"/>
      <c r="P143" s="69" t="s">
        <v>578</v>
      </c>
    </row>
    <row r="144" ht="17" customHeight="1" spans="1:16">
      <c r="A144" s="89" t="s">
        <v>1114</v>
      </c>
      <c r="B144" s="90" t="s">
        <v>762</v>
      </c>
      <c r="C144" s="106">
        <f t="shared" si="14"/>
        <v>4597.302965</v>
      </c>
      <c r="D144" s="106"/>
      <c r="E144" s="106"/>
      <c r="F144" s="106"/>
      <c r="G144" s="106"/>
      <c r="H144" s="106">
        <v>4380.136965</v>
      </c>
      <c r="I144" s="106">
        <v>20</v>
      </c>
      <c r="J144" s="106"/>
      <c r="K144" s="106">
        <v>197.166</v>
      </c>
      <c r="L144" s="106"/>
      <c r="M144" s="106"/>
      <c r="N144" s="106"/>
      <c r="O144" s="106"/>
      <c r="P144" s="69" t="s">
        <v>578</v>
      </c>
    </row>
    <row r="145" ht="17" customHeight="1" spans="1:16">
      <c r="A145" s="89" t="s">
        <v>1115</v>
      </c>
      <c r="B145" s="90" t="s">
        <v>763</v>
      </c>
      <c r="C145" s="106">
        <f t="shared" si="14"/>
        <v>2812.172263</v>
      </c>
      <c r="D145" s="106"/>
      <c r="E145" s="106"/>
      <c r="F145" s="106"/>
      <c r="G145" s="106"/>
      <c r="H145" s="106">
        <v>2685.172263</v>
      </c>
      <c r="I145" s="106">
        <v>10</v>
      </c>
      <c r="J145" s="106"/>
      <c r="K145" s="106">
        <v>117</v>
      </c>
      <c r="L145" s="106"/>
      <c r="M145" s="106"/>
      <c r="N145" s="106"/>
      <c r="O145" s="106"/>
      <c r="P145" s="69" t="s">
        <v>578</v>
      </c>
    </row>
    <row r="146" ht="17" customHeight="1" spans="1:16">
      <c r="A146" s="89" t="s">
        <v>1116</v>
      </c>
      <c r="B146" s="90" t="s">
        <v>764</v>
      </c>
      <c r="C146" s="106">
        <f t="shared" si="14"/>
        <v>5506.108764</v>
      </c>
      <c r="D146" s="106"/>
      <c r="E146" s="106"/>
      <c r="F146" s="106"/>
      <c r="G146" s="106"/>
      <c r="H146" s="106">
        <v>5315.294764</v>
      </c>
      <c r="I146" s="106">
        <v>50</v>
      </c>
      <c r="J146" s="106"/>
      <c r="K146" s="106">
        <v>140.814</v>
      </c>
      <c r="L146" s="106"/>
      <c r="M146" s="106"/>
      <c r="N146" s="106"/>
      <c r="O146" s="106"/>
      <c r="P146" s="69" t="s">
        <v>578</v>
      </c>
    </row>
    <row r="147" ht="17" customHeight="1" spans="1:16">
      <c r="A147" s="89" t="s">
        <v>1117</v>
      </c>
      <c r="B147" s="90" t="s">
        <v>765</v>
      </c>
      <c r="C147" s="106">
        <f t="shared" si="14"/>
        <v>5846.695023</v>
      </c>
      <c r="D147" s="106"/>
      <c r="E147" s="106"/>
      <c r="F147" s="106"/>
      <c r="G147" s="106"/>
      <c r="H147" s="106">
        <v>5577.975623</v>
      </c>
      <c r="I147" s="106">
        <v>100</v>
      </c>
      <c r="J147" s="106"/>
      <c r="K147" s="106">
        <v>168.7194</v>
      </c>
      <c r="L147" s="106"/>
      <c r="M147" s="106"/>
      <c r="N147" s="106"/>
      <c r="O147" s="106"/>
      <c r="P147" s="69" t="s">
        <v>578</v>
      </c>
    </row>
    <row r="148" ht="17" customHeight="1" spans="1:16">
      <c r="A148" s="89" t="s">
        <v>1118</v>
      </c>
      <c r="B148" s="90" t="s">
        <v>766</v>
      </c>
      <c r="C148" s="106">
        <f t="shared" si="14"/>
        <v>4228.418217</v>
      </c>
      <c r="D148" s="106"/>
      <c r="E148" s="106"/>
      <c r="F148" s="106"/>
      <c r="G148" s="106"/>
      <c r="H148" s="106">
        <v>4044.716817</v>
      </c>
      <c r="I148" s="106"/>
      <c r="J148" s="106"/>
      <c r="K148" s="106">
        <v>183.7014</v>
      </c>
      <c r="L148" s="106"/>
      <c r="M148" s="106"/>
      <c r="N148" s="106"/>
      <c r="O148" s="106"/>
      <c r="P148" s="69" t="s">
        <v>578</v>
      </c>
    </row>
    <row r="149" ht="17" customHeight="1" spans="1:16">
      <c r="A149" s="89" t="s">
        <v>1119</v>
      </c>
      <c r="B149" s="90" t="s">
        <v>767</v>
      </c>
      <c r="C149" s="106">
        <f t="shared" si="14"/>
        <v>2965.141872</v>
      </c>
      <c r="D149" s="106"/>
      <c r="E149" s="106"/>
      <c r="F149" s="106"/>
      <c r="G149" s="106"/>
      <c r="H149" s="106">
        <v>2877.935272</v>
      </c>
      <c r="I149" s="106">
        <v>15.6992</v>
      </c>
      <c r="J149" s="106"/>
      <c r="K149" s="106">
        <v>71.5074</v>
      </c>
      <c r="L149" s="106"/>
      <c r="M149" s="106"/>
      <c r="N149" s="106"/>
      <c r="O149" s="106"/>
      <c r="P149" s="69" t="s">
        <v>578</v>
      </c>
    </row>
    <row r="150" ht="17" customHeight="1" spans="1:16">
      <c r="A150" s="89" t="s">
        <v>1120</v>
      </c>
      <c r="B150" s="90" t="s">
        <v>768</v>
      </c>
      <c r="C150" s="106">
        <f t="shared" si="14"/>
        <v>343.649753</v>
      </c>
      <c r="D150" s="106"/>
      <c r="E150" s="106"/>
      <c r="F150" s="106"/>
      <c r="G150" s="106"/>
      <c r="H150" s="106">
        <v>312.033753</v>
      </c>
      <c r="I150" s="106">
        <v>0.5</v>
      </c>
      <c r="J150" s="106"/>
      <c r="K150" s="106">
        <v>31.116</v>
      </c>
      <c r="L150" s="106"/>
      <c r="M150" s="106"/>
      <c r="N150" s="106"/>
      <c r="O150" s="106"/>
      <c r="P150" s="69" t="s">
        <v>578</v>
      </c>
    </row>
    <row r="151" ht="17" customHeight="1" spans="1:16">
      <c r="A151" s="89" t="s">
        <v>1121</v>
      </c>
      <c r="B151" s="90" t="s">
        <v>769</v>
      </c>
      <c r="C151" s="106">
        <f t="shared" si="14"/>
        <v>974.610307</v>
      </c>
      <c r="D151" s="106"/>
      <c r="E151" s="106"/>
      <c r="F151" s="106"/>
      <c r="G151" s="106"/>
      <c r="H151" s="106">
        <v>920.820307</v>
      </c>
      <c r="I151" s="106">
        <v>0.9</v>
      </c>
      <c r="J151" s="106"/>
      <c r="K151" s="106">
        <v>52.89</v>
      </c>
      <c r="L151" s="106"/>
      <c r="M151" s="106"/>
      <c r="N151" s="106"/>
      <c r="O151" s="106"/>
      <c r="P151" s="69" t="s">
        <v>578</v>
      </c>
    </row>
    <row r="152" ht="17" customHeight="1" spans="1:16">
      <c r="A152" s="89" t="s">
        <v>1122</v>
      </c>
      <c r="B152" s="90" t="s">
        <v>770</v>
      </c>
      <c r="C152" s="106">
        <f t="shared" si="14"/>
        <v>348.998949</v>
      </c>
      <c r="D152" s="106"/>
      <c r="E152" s="106"/>
      <c r="F152" s="106"/>
      <c r="G152" s="106"/>
      <c r="H152" s="106">
        <v>329.018949</v>
      </c>
      <c r="I152" s="106">
        <v>0.3</v>
      </c>
      <c r="J152" s="106"/>
      <c r="K152" s="106">
        <v>19.68</v>
      </c>
      <c r="L152" s="106"/>
      <c r="M152" s="106"/>
      <c r="N152" s="106"/>
      <c r="O152" s="106"/>
      <c r="P152" s="69" t="s">
        <v>578</v>
      </c>
    </row>
    <row r="153" ht="17" customHeight="1" spans="1:16">
      <c r="A153" s="89" t="s">
        <v>1123</v>
      </c>
      <c r="B153" s="90" t="s">
        <v>771</v>
      </c>
      <c r="C153" s="106">
        <f t="shared" si="14"/>
        <v>3154.725281</v>
      </c>
      <c r="D153" s="106"/>
      <c r="E153" s="106"/>
      <c r="F153" s="106"/>
      <c r="G153" s="106"/>
      <c r="H153" s="106">
        <v>2971.195281</v>
      </c>
      <c r="I153" s="106">
        <v>9.5</v>
      </c>
      <c r="J153" s="106"/>
      <c r="K153" s="106">
        <v>174.03</v>
      </c>
      <c r="L153" s="106"/>
      <c r="M153" s="106"/>
      <c r="N153" s="106"/>
      <c r="O153" s="106"/>
      <c r="P153" s="69" t="s">
        <v>578</v>
      </c>
    </row>
    <row r="154" ht="17" customHeight="1" spans="1:16">
      <c r="A154" s="89" t="s">
        <v>1124</v>
      </c>
      <c r="B154" s="90" t="s">
        <v>772</v>
      </c>
      <c r="C154" s="106">
        <f t="shared" si="14"/>
        <v>9056.550165</v>
      </c>
      <c r="D154" s="106"/>
      <c r="E154" s="106"/>
      <c r="F154" s="106"/>
      <c r="G154" s="106"/>
      <c r="H154" s="106">
        <v>8437.171969</v>
      </c>
      <c r="I154" s="106">
        <v>30.6152</v>
      </c>
      <c r="J154" s="106"/>
      <c r="K154" s="106">
        <v>588.762996</v>
      </c>
      <c r="L154" s="106"/>
      <c r="M154" s="106"/>
      <c r="N154" s="106"/>
      <c r="O154" s="106"/>
      <c r="P154" s="69" t="s">
        <v>578</v>
      </c>
    </row>
    <row r="155" ht="17" customHeight="1" spans="1:16">
      <c r="A155" s="89" t="s">
        <v>1125</v>
      </c>
      <c r="B155" s="90" t="s">
        <v>773</v>
      </c>
      <c r="C155" s="106">
        <f t="shared" si="14"/>
        <v>5555.333522</v>
      </c>
      <c r="D155" s="106"/>
      <c r="E155" s="106"/>
      <c r="F155" s="106"/>
      <c r="G155" s="106"/>
      <c r="H155" s="106">
        <v>5067.787522</v>
      </c>
      <c r="I155" s="106">
        <v>10</v>
      </c>
      <c r="J155" s="106"/>
      <c r="K155" s="106">
        <v>477.546</v>
      </c>
      <c r="L155" s="106"/>
      <c r="M155" s="106"/>
      <c r="N155" s="106"/>
      <c r="O155" s="106"/>
      <c r="P155" s="69" t="s">
        <v>578</v>
      </c>
    </row>
    <row r="156" ht="17" customHeight="1" spans="1:16">
      <c r="A156" s="89" t="s">
        <v>1126</v>
      </c>
      <c r="B156" s="90" t="s">
        <v>774</v>
      </c>
      <c r="C156" s="106">
        <f t="shared" si="14"/>
        <v>4652.891885</v>
      </c>
      <c r="D156" s="106"/>
      <c r="E156" s="106"/>
      <c r="F156" s="106"/>
      <c r="G156" s="106"/>
      <c r="H156" s="106">
        <v>4243.793973</v>
      </c>
      <c r="I156" s="106">
        <v>14</v>
      </c>
      <c r="J156" s="106"/>
      <c r="K156" s="106">
        <v>395.097912</v>
      </c>
      <c r="L156" s="106"/>
      <c r="M156" s="106"/>
      <c r="N156" s="106"/>
      <c r="O156" s="106"/>
      <c r="P156" s="69" t="s">
        <v>578</v>
      </c>
    </row>
    <row r="157" ht="17" customHeight="1" spans="1:16">
      <c r="A157" s="89" t="s">
        <v>1127</v>
      </c>
      <c r="B157" s="90" t="s">
        <v>775</v>
      </c>
      <c r="C157" s="106">
        <f t="shared" si="14"/>
        <v>4567.621189</v>
      </c>
      <c r="D157" s="106"/>
      <c r="E157" s="106"/>
      <c r="F157" s="106"/>
      <c r="G157" s="106"/>
      <c r="H157" s="106">
        <v>4128.612453</v>
      </c>
      <c r="I157" s="106">
        <v>10</v>
      </c>
      <c r="J157" s="106"/>
      <c r="K157" s="106">
        <v>429.008736</v>
      </c>
      <c r="L157" s="106"/>
      <c r="M157" s="106"/>
      <c r="N157" s="106"/>
      <c r="O157" s="106"/>
      <c r="P157" s="69" t="s">
        <v>578</v>
      </c>
    </row>
    <row r="158" ht="17" customHeight="1" spans="1:16">
      <c r="A158" s="89" t="s">
        <v>1128</v>
      </c>
      <c r="B158" s="90" t="s">
        <v>776</v>
      </c>
      <c r="C158" s="106">
        <f t="shared" si="14"/>
        <v>3387.16332</v>
      </c>
      <c r="D158" s="106"/>
      <c r="E158" s="106"/>
      <c r="F158" s="106"/>
      <c r="G158" s="106"/>
      <c r="H158" s="106">
        <v>3119.89732</v>
      </c>
      <c r="I158" s="106">
        <v>20</v>
      </c>
      <c r="J158" s="106"/>
      <c r="K158" s="106">
        <v>247.266</v>
      </c>
      <c r="L158" s="106"/>
      <c r="M158" s="106"/>
      <c r="N158" s="106"/>
      <c r="O158" s="106"/>
      <c r="P158" s="69" t="s">
        <v>578</v>
      </c>
    </row>
    <row r="159" ht="17" customHeight="1" spans="1:16">
      <c r="A159" s="89" t="s">
        <v>1129</v>
      </c>
      <c r="B159" s="90" t="s">
        <v>777</v>
      </c>
      <c r="C159" s="106">
        <f t="shared" si="14"/>
        <v>4842.541846</v>
      </c>
      <c r="D159" s="106"/>
      <c r="E159" s="106"/>
      <c r="F159" s="106"/>
      <c r="G159" s="106"/>
      <c r="H159" s="106">
        <v>4449.808746</v>
      </c>
      <c r="I159" s="106">
        <v>17.534</v>
      </c>
      <c r="J159" s="106"/>
      <c r="K159" s="106">
        <v>375.1991</v>
      </c>
      <c r="L159" s="106"/>
      <c r="M159" s="106"/>
      <c r="N159" s="106"/>
      <c r="O159" s="106"/>
      <c r="P159" s="69" t="s">
        <v>578</v>
      </c>
    </row>
    <row r="160" ht="17" customHeight="1" spans="1:16">
      <c r="A160" s="89" t="s">
        <v>1130</v>
      </c>
      <c r="B160" s="90" t="s">
        <v>778</v>
      </c>
      <c r="C160" s="106">
        <f t="shared" si="14"/>
        <v>6498.064521</v>
      </c>
      <c r="D160" s="106"/>
      <c r="E160" s="106"/>
      <c r="F160" s="106"/>
      <c r="G160" s="106"/>
      <c r="H160" s="106">
        <v>5904.411541</v>
      </c>
      <c r="I160" s="106">
        <v>25</v>
      </c>
      <c r="J160" s="106"/>
      <c r="K160" s="106">
        <v>568.65298</v>
      </c>
      <c r="L160" s="106"/>
      <c r="M160" s="106"/>
      <c r="N160" s="106"/>
      <c r="O160" s="106"/>
      <c r="P160" s="69" t="s">
        <v>578</v>
      </c>
    </row>
    <row r="161" ht="17" customHeight="1" spans="1:16">
      <c r="A161" s="89" t="s">
        <v>1131</v>
      </c>
      <c r="B161" s="90" t="s">
        <v>779</v>
      </c>
      <c r="C161" s="106">
        <f t="shared" si="14"/>
        <v>3208.652894</v>
      </c>
      <c r="D161" s="106"/>
      <c r="E161" s="106"/>
      <c r="F161" s="106"/>
      <c r="G161" s="106"/>
      <c r="H161" s="106">
        <v>2974.192894</v>
      </c>
      <c r="I161" s="106">
        <v>10</v>
      </c>
      <c r="J161" s="106"/>
      <c r="K161" s="106">
        <v>224.46</v>
      </c>
      <c r="L161" s="106"/>
      <c r="M161" s="106"/>
      <c r="N161" s="106"/>
      <c r="O161" s="106"/>
      <c r="P161" s="69" t="s">
        <v>578</v>
      </c>
    </row>
    <row r="162" ht="17" customHeight="1" spans="1:16">
      <c r="A162" s="89" t="s">
        <v>1132</v>
      </c>
      <c r="B162" s="90" t="s">
        <v>780</v>
      </c>
      <c r="C162" s="106">
        <f t="shared" si="14"/>
        <v>3617.999725</v>
      </c>
      <c r="D162" s="106"/>
      <c r="E162" s="106"/>
      <c r="F162" s="106"/>
      <c r="G162" s="106"/>
      <c r="H162" s="106">
        <v>3323.449725</v>
      </c>
      <c r="I162" s="106">
        <v>10</v>
      </c>
      <c r="J162" s="106"/>
      <c r="K162" s="106">
        <v>284.55</v>
      </c>
      <c r="L162" s="106"/>
      <c r="M162" s="106"/>
      <c r="N162" s="106"/>
      <c r="O162" s="106"/>
      <c r="P162" s="69" t="s">
        <v>578</v>
      </c>
    </row>
    <row r="163" ht="17" customHeight="1" spans="1:16">
      <c r="A163" s="89" t="s">
        <v>1133</v>
      </c>
      <c r="B163" s="90" t="s">
        <v>2228</v>
      </c>
      <c r="C163" s="106">
        <f t="shared" si="14"/>
        <v>6004.741638</v>
      </c>
      <c r="D163" s="106"/>
      <c r="E163" s="106"/>
      <c r="F163" s="106"/>
      <c r="G163" s="106"/>
      <c r="H163" s="106">
        <v>5536.807638</v>
      </c>
      <c r="I163" s="106">
        <v>36</v>
      </c>
      <c r="J163" s="106"/>
      <c r="K163" s="106">
        <v>431.934</v>
      </c>
      <c r="L163" s="106"/>
      <c r="M163" s="106"/>
      <c r="N163" s="106"/>
      <c r="O163" s="106"/>
      <c r="P163" s="69" t="s">
        <v>578</v>
      </c>
    </row>
    <row r="164" ht="17" customHeight="1" spans="1:16">
      <c r="A164" s="89" t="s">
        <v>1134</v>
      </c>
      <c r="B164" s="90" t="s">
        <v>782</v>
      </c>
      <c r="C164" s="106">
        <f t="shared" si="14"/>
        <v>4369.61317</v>
      </c>
      <c r="D164" s="106"/>
      <c r="E164" s="106"/>
      <c r="F164" s="106"/>
      <c r="G164" s="106"/>
      <c r="H164" s="106">
        <v>4032.16317</v>
      </c>
      <c r="I164" s="106">
        <v>10</v>
      </c>
      <c r="J164" s="106"/>
      <c r="K164" s="106">
        <v>327.45</v>
      </c>
      <c r="L164" s="106"/>
      <c r="M164" s="106"/>
      <c r="N164" s="106"/>
      <c r="O164" s="106"/>
      <c r="P164" s="69" t="s">
        <v>578</v>
      </c>
    </row>
    <row r="165" ht="17" customHeight="1" spans="1:16">
      <c r="A165" s="89" t="s">
        <v>1135</v>
      </c>
      <c r="B165" s="90" t="s">
        <v>783</v>
      </c>
      <c r="C165" s="106">
        <f t="shared" si="14"/>
        <v>564.237415</v>
      </c>
      <c r="D165" s="106"/>
      <c r="E165" s="106"/>
      <c r="F165" s="106"/>
      <c r="G165" s="106"/>
      <c r="H165" s="106">
        <v>547.083415</v>
      </c>
      <c r="I165" s="106"/>
      <c r="J165" s="106"/>
      <c r="K165" s="106">
        <v>17.154</v>
      </c>
      <c r="L165" s="106"/>
      <c r="M165" s="106"/>
      <c r="N165" s="106"/>
      <c r="O165" s="106"/>
      <c r="P165" s="69" t="s">
        <v>578</v>
      </c>
    </row>
    <row r="166" ht="17" customHeight="1" spans="1:16">
      <c r="A166" s="89" t="s">
        <v>1136</v>
      </c>
      <c r="B166" s="90" t="s">
        <v>784</v>
      </c>
      <c r="C166" s="106">
        <f t="shared" si="14"/>
        <v>1290.771307</v>
      </c>
      <c r="D166" s="106"/>
      <c r="E166" s="106"/>
      <c r="F166" s="106"/>
      <c r="G166" s="106"/>
      <c r="H166" s="106">
        <v>1223.471265</v>
      </c>
      <c r="I166" s="106">
        <v>9.3174</v>
      </c>
      <c r="J166" s="106"/>
      <c r="K166" s="106">
        <v>57.982642</v>
      </c>
      <c r="L166" s="106"/>
      <c r="M166" s="106"/>
      <c r="N166" s="106"/>
      <c r="O166" s="106"/>
      <c r="P166" s="69" t="s">
        <v>578</v>
      </c>
    </row>
    <row r="167" ht="17" customHeight="1" spans="1:16">
      <c r="A167" s="89" t="s">
        <v>1138</v>
      </c>
      <c r="B167" s="90" t="s">
        <v>785</v>
      </c>
      <c r="C167" s="106">
        <f t="shared" si="14"/>
        <v>1664.02679</v>
      </c>
      <c r="D167" s="106"/>
      <c r="E167" s="106"/>
      <c r="F167" s="106"/>
      <c r="G167" s="106"/>
      <c r="H167" s="106">
        <v>1581.690922</v>
      </c>
      <c r="I167" s="106">
        <v>10</v>
      </c>
      <c r="J167" s="106"/>
      <c r="K167" s="106">
        <v>72.335868</v>
      </c>
      <c r="L167" s="106"/>
      <c r="M167" s="106"/>
      <c r="N167" s="106"/>
      <c r="O167" s="106"/>
      <c r="P167" s="69" t="s">
        <v>578</v>
      </c>
    </row>
    <row r="168" ht="17" customHeight="1" spans="1:16">
      <c r="A168" s="89" t="s">
        <v>1139</v>
      </c>
      <c r="B168" s="90" t="s">
        <v>786</v>
      </c>
      <c r="C168" s="106">
        <f t="shared" si="14"/>
        <v>1109.922751</v>
      </c>
      <c r="D168" s="106"/>
      <c r="E168" s="106"/>
      <c r="F168" s="106"/>
      <c r="G168" s="106"/>
      <c r="H168" s="106">
        <v>1071.684751</v>
      </c>
      <c r="I168" s="106">
        <v>9</v>
      </c>
      <c r="J168" s="106"/>
      <c r="K168" s="106">
        <v>29.238</v>
      </c>
      <c r="L168" s="106"/>
      <c r="M168" s="106"/>
      <c r="N168" s="106"/>
      <c r="O168" s="106"/>
      <c r="P168" s="69" t="s">
        <v>578</v>
      </c>
    </row>
    <row r="169" ht="17" customHeight="1" spans="1:16">
      <c r="A169" s="89" t="s">
        <v>1140</v>
      </c>
      <c r="B169" s="90" t="s">
        <v>787</v>
      </c>
      <c r="C169" s="106">
        <f t="shared" si="14"/>
        <v>1164.868644</v>
      </c>
      <c r="D169" s="106"/>
      <c r="E169" s="106"/>
      <c r="F169" s="106"/>
      <c r="G169" s="106"/>
      <c r="H169" s="106">
        <v>1159.868644</v>
      </c>
      <c r="I169" s="106">
        <v>5</v>
      </c>
      <c r="J169" s="106"/>
      <c r="K169" s="106"/>
      <c r="L169" s="106"/>
      <c r="M169" s="106"/>
      <c r="N169" s="106"/>
      <c r="O169" s="106"/>
      <c r="P169" s="69" t="s">
        <v>578</v>
      </c>
    </row>
    <row r="170" ht="17" customHeight="1" spans="1:16">
      <c r="A170" s="89" t="s">
        <v>1141</v>
      </c>
      <c r="B170" s="90" t="s">
        <v>788</v>
      </c>
      <c r="C170" s="106">
        <f t="shared" si="14"/>
        <v>2089.970462</v>
      </c>
      <c r="D170" s="106"/>
      <c r="E170" s="106"/>
      <c r="F170" s="106"/>
      <c r="G170" s="106"/>
      <c r="H170" s="106">
        <v>2060.966462</v>
      </c>
      <c r="I170" s="106">
        <v>12</v>
      </c>
      <c r="J170" s="106"/>
      <c r="K170" s="106">
        <v>17.004</v>
      </c>
      <c r="L170" s="106"/>
      <c r="M170" s="106"/>
      <c r="N170" s="106"/>
      <c r="O170" s="106"/>
      <c r="P170" s="69" t="s">
        <v>578</v>
      </c>
    </row>
    <row r="171" ht="17" customHeight="1" spans="1:16">
      <c r="A171" s="89" t="s">
        <v>1142</v>
      </c>
      <c r="B171" s="90" t="s">
        <v>789</v>
      </c>
      <c r="C171" s="106">
        <f t="shared" si="14"/>
        <v>4379.056648</v>
      </c>
      <c r="D171" s="106"/>
      <c r="E171" s="106"/>
      <c r="F171" s="106"/>
      <c r="G171" s="106"/>
      <c r="H171" s="106">
        <v>4304.600648</v>
      </c>
      <c r="I171" s="106">
        <v>70.4</v>
      </c>
      <c r="J171" s="106"/>
      <c r="K171" s="106">
        <v>4.056</v>
      </c>
      <c r="L171" s="106"/>
      <c r="M171" s="106"/>
      <c r="N171" s="106"/>
      <c r="O171" s="106"/>
      <c r="P171" s="69" t="s">
        <v>578</v>
      </c>
    </row>
    <row r="172" ht="17" customHeight="1" spans="1:16">
      <c r="A172" s="89" t="s">
        <v>1143</v>
      </c>
      <c r="B172" s="90" t="s">
        <v>790</v>
      </c>
      <c r="C172" s="106">
        <f t="shared" si="14"/>
        <v>3862.288159</v>
      </c>
      <c r="D172" s="106"/>
      <c r="E172" s="106"/>
      <c r="F172" s="106"/>
      <c r="G172" s="106"/>
      <c r="H172" s="106">
        <v>3837.880159</v>
      </c>
      <c r="I172" s="106">
        <v>15</v>
      </c>
      <c r="J172" s="106"/>
      <c r="K172" s="106">
        <v>9.408</v>
      </c>
      <c r="L172" s="106"/>
      <c r="M172" s="106"/>
      <c r="N172" s="106"/>
      <c r="O172" s="106"/>
      <c r="P172" s="69" t="s">
        <v>578</v>
      </c>
    </row>
    <row r="173" ht="17" customHeight="1" spans="1:16">
      <c r="A173" s="89" t="s">
        <v>1144</v>
      </c>
      <c r="B173" s="90" t="s">
        <v>791</v>
      </c>
      <c r="C173" s="106">
        <f t="shared" si="14"/>
        <v>1516.496526</v>
      </c>
      <c r="D173" s="106"/>
      <c r="E173" s="106"/>
      <c r="F173" s="106"/>
      <c r="G173" s="106"/>
      <c r="H173" s="106">
        <v>1500.996526</v>
      </c>
      <c r="I173" s="106">
        <v>15.5</v>
      </c>
      <c r="J173" s="106"/>
      <c r="K173" s="106"/>
      <c r="L173" s="106"/>
      <c r="M173" s="106"/>
      <c r="N173" s="106"/>
      <c r="O173" s="106"/>
      <c r="P173" s="69" t="s">
        <v>578</v>
      </c>
    </row>
    <row r="174" ht="17" customHeight="1" spans="1:16">
      <c r="A174" s="89" t="s">
        <v>1145</v>
      </c>
      <c r="B174" s="90" t="s">
        <v>792</v>
      </c>
      <c r="C174" s="106">
        <f t="shared" si="14"/>
        <v>1625.258289</v>
      </c>
      <c r="D174" s="106"/>
      <c r="E174" s="106"/>
      <c r="F174" s="106"/>
      <c r="G174" s="106"/>
      <c r="H174" s="106">
        <v>1554.322289</v>
      </c>
      <c r="I174" s="106">
        <v>10</v>
      </c>
      <c r="J174" s="106"/>
      <c r="K174" s="106">
        <v>60.936</v>
      </c>
      <c r="L174" s="106"/>
      <c r="M174" s="106"/>
      <c r="N174" s="106"/>
      <c r="O174" s="106"/>
      <c r="P174" s="69" t="s">
        <v>578</v>
      </c>
    </row>
    <row r="175" ht="17" customHeight="1" spans="1:16">
      <c r="A175" s="89" t="s">
        <v>1146</v>
      </c>
      <c r="B175" s="90" t="s">
        <v>793</v>
      </c>
      <c r="C175" s="106">
        <f t="shared" si="14"/>
        <v>1738.965576</v>
      </c>
      <c r="D175" s="106"/>
      <c r="E175" s="106"/>
      <c r="F175" s="106"/>
      <c r="G175" s="106"/>
      <c r="H175" s="106">
        <v>1721.585576</v>
      </c>
      <c r="I175" s="106">
        <v>10</v>
      </c>
      <c r="J175" s="106"/>
      <c r="K175" s="106">
        <v>7.38</v>
      </c>
      <c r="L175" s="106"/>
      <c r="M175" s="106"/>
      <c r="N175" s="106"/>
      <c r="O175" s="106"/>
      <c r="P175" s="69" t="s">
        <v>578</v>
      </c>
    </row>
    <row r="176" ht="17" customHeight="1" spans="1:16">
      <c r="A176" s="95" t="s">
        <v>1147</v>
      </c>
      <c r="B176" s="96" t="s">
        <v>794</v>
      </c>
      <c r="C176" s="106">
        <f t="shared" si="14"/>
        <v>1730.132537</v>
      </c>
      <c r="D176" s="106"/>
      <c r="E176" s="106"/>
      <c r="F176" s="106"/>
      <c r="G176" s="106"/>
      <c r="H176" s="106">
        <v>1698.602537</v>
      </c>
      <c r="I176" s="106">
        <v>18</v>
      </c>
      <c r="J176" s="106"/>
      <c r="K176" s="106">
        <v>13.53</v>
      </c>
      <c r="L176" s="106"/>
      <c r="M176" s="106"/>
      <c r="N176" s="106"/>
      <c r="O176" s="106"/>
      <c r="P176" s="69" t="s">
        <v>578</v>
      </c>
    </row>
    <row r="177" ht="17" customHeight="1" spans="1:16">
      <c r="A177" s="95" t="s">
        <v>1148</v>
      </c>
      <c r="B177" s="96" t="s">
        <v>795</v>
      </c>
      <c r="C177" s="106">
        <f t="shared" si="14"/>
        <v>1297.986569</v>
      </c>
      <c r="D177" s="106"/>
      <c r="E177" s="106"/>
      <c r="F177" s="106"/>
      <c r="G177" s="106"/>
      <c r="H177" s="106">
        <v>1294.870769</v>
      </c>
      <c r="I177" s="106"/>
      <c r="J177" s="106"/>
      <c r="K177" s="106">
        <v>3.1158</v>
      </c>
      <c r="L177" s="106"/>
      <c r="M177" s="106"/>
      <c r="N177" s="106"/>
      <c r="O177" s="106"/>
      <c r="P177" s="69" t="s">
        <v>578</v>
      </c>
    </row>
    <row r="178" ht="17" customHeight="1" spans="1:16">
      <c r="A178" s="95" t="s">
        <v>1149</v>
      </c>
      <c r="B178" s="96" t="s">
        <v>796</v>
      </c>
      <c r="C178" s="106">
        <f t="shared" si="14"/>
        <v>2560.781376</v>
      </c>
      <c r="D178" s="106"/>
      <c r="E178" s="106"/>
      <c r="F178" s="106"/>
      <c r="G178" s="106"/>
      <c r="H178" s="106">
        <v>2542.711376</v>
      </c>
      <c r="I178" s="106">
        <v>14.38</v>
      </c>
      <c r="J178" s="106"/>
      <c r="K178" s="106">
        <v>3.69</v>
      </c>
      <c r="L178" s="106"/>
      <c r="M178" s="106"/>
      <c r="N178" s="106"/>
      <c r="O178" s="106"/>
      <c r="P178" s="69" t="s">
        <v>578</v>
      </c>
    </row>
    <row r="179" ht="17" customHeight="1" spans="1:16">
      <c r="A179" s="95" t="s">
        <v>1150</v>
      </c>
      <c r="B179" s="96" t="s">
        <v>797</v>
      </c>
      <c r="C179" s="106">
        <f t="shared" si="14"/>
        <v>715.08</v>
      </c>
      <c r="D179" s="106"/>
      <c r="E179" s="106"/>
      <c r="F179" s="106"/>
      <c r="G179" s="106"/>
      <c r="H179" s="106">
        <v>705.08</v>
      </c>
      <c r="I179" s="106">
        <v>10</v>
      </c>
      <c r="J179" s="106"/>
      <c r="K179" s="106"/>
      <c r="L179" s="106"/>
      <c r="M179" s="106"/>
      <c r="N179" s="106"/>
      <c r="O179" s="106"/>
      <c r="P179" s="69" t="s">
        <v>578</v>
      </c>
    </row>
    <row r="180" ht="17" customHeight="1" spans="1:16">
      <c r="A180" s="95" t="s">
        <v>1151</v>
      </c>
      <c r="B180" s="96" t="s">
        <v>798</v>
      </c>
      <c r="C180" s="106">
        <f t="shared" si="14"/>
        <v>326.36</v>
      </c>
      <c r="D180" s="106"/>
      <c r="E180" s="106"/>
      <c r="F180" s="106"/>
      <c r="G180" s="106"/>
      <c r="H180" s="106">
        <v>321.36</v>
      </c>
      <c r="I180" s="106">
        <v>5</v>
      </c>
      <c r="J180" s="106"/>
      <c r="K180" s="106"/>
      <c r="L180" s="106"/>
      <c r="M180" s="106"/>
      <c r="N180" s="106"/>
      <c r="O180" s="106"/>
      <c r="P180" s="69" t="s">
        <v>578</v>
      </c>
    </row>
    <row r="181" ht="17" customHeight="1" spans="1:16">
      <c r="A181" s="89" t="s">
        <v>1152</v>
      </c>
      <c r="B181" s="90" t="s">
        <v>2229</v>
      </c>
      <c r="C181" s="106">
        <f t="shared" si="14"/>
        <v>585.37102</v>
      </c>
      <c r="D181" s="106"/>
      <c r="E181" s="106"/>
      <c r="F181" s="106"/>
      <c r="G181" s="106"/>
      <c r="H181" s="106">
        <v>524.13547</v>
      </c>
      <c r="I181" s="106"/>
      <c r="J181" s="106"/>
      <c r="K181" s="106">
        <v>61.23555</v>
      </c>
      <c r="L181" s="106"/>
      <c r="M181" s="106"/>
      <c r="N181" s="106"/>
      <c r="O181" s="106"/>
      <c r="P181" s="69" t="s">
        <v>578</v>
      </c>
    </row>
    <row r="182" ht="17" customHeight="1" spans="1:16">
      <c r="A182" s="89" t="s">
        <v>1153</v>
      </c>
      <c r="B182" s="90" t="s">
        <v>800</v>
      </c>
      <c r="C182" s="106">
        <f t="shared" si="14"/>
        <v>385.317705</v>
      </c>
      <c r="D182" s="106">
        <v>239.460199</v>
      </c>
      <c r="E182" s="106">
        <v>106.785096</v>
      </c>
      <c r="F182" s="106">
        <v>2</v>
      </c>
      <c r="G182" s="106"/>
      <c r="H182" s="106">
        <v>4.4688</v>
      </c>
      <c r="I182" s="106"/>
      <c r="J182" s="106"/>
      <c r="K182" s="106">
        <v>32.60361</v>
      </c>
      <c r="L182" s="106"/>
      <c r="M182" s="106"/>
      <c r="N182" s="106"/>
      <c r="O182" s="106"/>
      <c r="P182" s="69" t="s">
        <v>578</v>
      </c>
    </row>
    <row r="183" ht="17" customHeight="1" spans="1:16">
      <c r="A183" s="89" t="s">
        <v>1154</v>
      </c>
      <c r="B183" s="90" t="s">
        <v>801</v>
      </c>
      <c r="C183" s="106">
        <f t="shared" ref="C183:C185" si="15">SUM(D183:O183)</f>
        <v>1077.553937</v>
      </c>
      <c r="D183" s="106"/>
      <c r="E183" s="106"/>
      <c r="F183" s="106"/>
      <c r="G183" s="106"/>
      <c r="H183" s="106">
        <v>954.540437</v>
      </c>
      <c r="I183" s="106"/>
      <c r="J183" s="106"/>
      <c r="K183" s="106">
        <v>3.0135</v>
      </c>
      <c r="L183" s="106"/>
      <c r="M183" s="106"/>
      <c r="N183" s="106"/>
      <c r="O183" s="106">
        <v>120</v>
      </c>
      <c r="P183" s="69" t="s">
        <v>578</v>
      </c>
    </row>
    <row r="184" ht="17" customHeight="1" spans="1:16">
      <c r="A184" s="89" t="s">
        <v>802</v>
      </c>
      <c r="B184" s="90" t="s">
        <v>1765</v>
      </c>
      <c r="C184" s="106">
        <f t="shared" si="15"/>
        <v>689.705777</v>
      </c>
      <c r="D184" s="106">
        <v>424.573199</v>
      </c>
      <c r="E184" s="106">
        <v>223.092818</v>
      </c>
      <c r="F184" s="106">
        <v>2.5</v>
      </c>
      <c r="G184" s="106"/>
      <c r="H184" s="106">
        <v>26.61</v>
      </c>
      <c r="I184" s="106"/>
      <c r="J184" s="106"/>
      <c r="K184" s="106">
        <v>12.92976</v>
      </c>
      <c r="L184" s="106"/>
      <c r="M184" s="106"/>
      <c r="N184" s="106"/>
      <c r="O184" s="106"/>
      <c r="P184" s="69" t="s">
        <v>578</v>
      </c>
    </row>
    <row r="185" ht="17" customHeight="1" spans="1:16">
      <c r="A185" s="89" t="s">
        <v>804</v>
      </c>
      <c r="B185" s="90" t="s">
        <v>805</v>
      </c>
      <c r="C185" s="106">
        <f t="shared" si="15"/>
        <v>166.347698</v>
      </c>
      <c r="D185" s="106">
        <v>117.492342</v>
      </c>
      <c r="E185" s="106">
        <v>36.345956</v>
      </c>
      <c r="F185" s="106"/>
      <c r="G185" s="106"/>
      <c r="H185" s="106">
        <v>9.188892</v>
      </c>
      <c r="I185" s="106"/>
      <c r="J185" s="106"/>
      <c r="K185" s="106">
        <v>3.320508</v>
      </c>
      <c r="L185" s="106"/>
      <c r="M185" s="106"/>
      <c r="N185" s="106"/>
      <c r="O185" s="106"/>
      <c r="P185" s="69" t="s">
        <v>578</v>
      </c>
    </row>
    <row r="186" ht="17" customHeight="1" spans="1:16">
      <c r="A186" s="112"/>
      <c r="B186" s="105" t="s">
        <v>806</v>
      </c>
      <c r="C186" s="109">
        <f t="shared" ref="C186:O186" si="16">SUM(C187:C189)</f>
        <v>9203.27</v>
      </c>
      <c r="D186" s="109">
        <f t="shared" si="16"/>
        <v>3829</v>
      </c>
      <c r="E186" s="109">
        <f t="shared" si="16"/>
        <v>2640</v>
      </c>
      <c r="F186" s="109">
        <f t="shared" si="16"/>
        <v>0</v>
      </c>
      <c r="G186" s="109">
        <f t="shared" si="16"/>
        <v>0</v>
      </c>
      <c r="H186" s="109">
        <f t="shared" si="16"/>
        <v>1903.27</v>
      </c>
      <c r="I186" s="109">
        <f t="shared" si="16"/>
        <v>300</v>
      </c>
      <c r="J186" s="109">
        <f t="shared" si="16"/>
        <v>0</v>
      </c>
      <c r="K186" s="109">
        <f t="shared" si="16"/>
        <v>531</v>
      </c>
      <c r="L186" s="109">
        <f t="shared" si="16"/>
        <v>0</v>
      </c>
      <c r="M186" s="109">
        <f t="shared" si="16"/>
        <v>0</v>
      </c>
      <c r="N186" s="109">
        <f t="shared" si="16"/>
        <v>0</v>
      </c>
      <c r="O186" s="109">
        <f t="shared" si="16"/>
        <v>0</v>
      </c>
      <c r="P186" s="69" t="s">
        <v>578</v>
      </c>
    </row>
    <row r="187" ht="17" customHeight="1" spans="1:16">
      <c r="A187" s="89" t="s">
        <v>2230</v>
      </c>
      <c r="B187" s="90" t="s">
        <v>807</v>
      </c>
      <c r="C187" s="113">
        <f t="shared" ref="C187:C189" si="17">SUM(D187:O187)</f>
        <v>205</v>
      </c>
      <c r="D187" s="113"/>
      <c r="E187" s="113"/>
      <c r="F187" s="113"/>
      <c r="G187" s="113"/>
      <c r="H187" s="113">
        <v>205</v>
      </c>
      <c r="I187" s="113"/>
      <c r="J187" s="113"/>
      <c r="K187" s="113"/>
      <c r="L187" s="113"/>
      <c r="M187" s="113"/>
      <c r="N187" s="113"/>
      <c r="O187" s="113"/>
      <c r="P187" s="69" t="s">
        <v>578</v>
      </c>
    </row>
    <row r="188" ht="17" customHeight="1" spans="1:16">
      <c r="A188" s="89" t="s">
        <v>2231</v>
      </c>
      <c r="B188" s="90" t="s">
        <v>808</v>
      </c>
      <c r="C188" s="113">
        <f t="shared" si="17"/>
        <v>1998.27</v>
      </c>
      <c r="D188" s="113"/>
      <c r="E188" s="113"/>
      <c r="F188" s="113"/>
      <c r="G188" s="113"/>
      <c r="H188" s="113">
        <v>1698.27</v>
      </c>
      <c r="I188" s="113">
        <v>300</v>
      </c>
      <c r="J188" s="113"/>
      <c r="K188" s="113"/>
      <c r="L188" s="113"/>
      <c r="M188" s="113"/>
      <c r="N188" s="113"/>
      <c r="O188" s="113"/>
      <c r="P188" s="69" t="s">
        <v>578</v>
      </c>
    </row>
    <row r="189" ht="17" customHeight="1" spans="1:16">
      <c r="A189" s="89" t="s">
        <v>2232</v>
      </c>
      <c r="B189" s="90" t="s">
        <v>809</v>
      </c>
      <c r="C189" s="113">
        <f t="shared" si="17"/>
        <v>7000</v>
      </c>
      <c r="D189" s="111">
        <v>3829</v>
      </c>
      <c r="E189" s="111">
        <v>2640</v>
      </c>
      <c r="F189" s="111"/>
      <c r="G189" s="111"/>
      <c r="H189" s="111"/>
      <c r="I189" s="111"/>
      <c r="J189" s="111"/>
      <c r="K189" s="111">
        <v>531</v>
      </c>
      <c r="L189" s="111"/>
      <c r="M189" s="111"/>
      <c r="N189" s="111"/>
      <c r="O189" s="111"/>
      <c r="P189" s="69" t="s">
        <v>578</v>
      </c>
    </row>
    <row r="190" ht="17" customHeight="1" spans="1:16">
      <c r="A190" s="114"/>
      <c r="B190" s="105" t="s">
        <v>810</v>
      </c>
      <c r="C190" s="109">
        <f t="shared" ref="C190:O190" si="18">SUM(C191:C278)</f>
        <v>143805.940183</v>
      </c>
      <c r="D190" s="109">
        <f t="shared" si="18"/>
        <v>15628.075268</v>
      </c>
      <c r="E190" s="109">
        <f t="shared" si="18"/>
        <v>73554.801546</v>
      </c>
      <c r="F190" s="109">
        <f t="shared" si="18"/>
        <v>30047.9468</v>
      </c>
      <c r="G190" s="109">
        <f t="shared" si="18"/>
        <v>0</v>
      </c>
      <c r="H190" s="109">
        <f t="shared" si="18"/>
        <v>10676.303388</v>
      </c>
      <c r="I190" s="109">
        <f t="shared" si="18"/>
        <v>30.368</v>
      </c>
      <c r="J190" s="109">
        <f t="shared" si="18"/>
        <v>9337.5</v>
      </c>
      <c r="K190" s="109">
        <f t="shared" si="18"/>
        <v>3620.735181</v>
      </c>
      <c r="L190" s="109">
        <f t="shared" si="18"/>
        <v>0</v>
      </c>
      <c r="M190" s="109">
        <f t="shared" si="18"/>
        <v>0</v>
      </c>
      <c r="N190" s="109">
        <f t="shared" si="18"/>
        <v>0</v>
      </c>
      <c r="O190" s="109">
        <f t="shared" si="18"/>
        <v>910.21</v>
      </c>
      <c r="P190" s="69" t="s">
        <v>578</v>
      </c>
    </row>
    <row r="191" ht="16.5" hidden="1" spans="1:16">
      <c r="A191" s="115" t="s">
        <v>812</v>
      </c>
      <c r="B191" s="90" t="s">
        <v>2233</v>
      </c>
      <c r="C191" s="110">
        <f t="shared" ref="C191:C254" si="19">SUM(D191:O191)</f>
        <v>1463.126741</v>
      </c>
      <c r="D191" s="116">
        <v>462.630215</v>
      </c>
      <c r="E191" s="116">
        <v>879.927796</v>
      </c>
      <c r="F191" s="116">
        <v>5</v>
      </c>
      <c r="G191" s="116"/>
      <c r="H191" s="116"/>
      <c r="I191" s="116"/>
      <c r="J191" s="116"/>
      <c r="K191" s="116">
        <v>115.56873</v>
      </c>
      <c r="L191" s="116"/>
      <c r="M191" s="116"/>
      <c r="N191" s="116"/>
      <c r="O191" s="116"/>
      <c r="P191" s="71"/>
    </row>
    <row r="192" ht="16.5" hidden="1" spans="1:16">
      <c r="A192" s="115" t="s">
        <v>814</v>
      </c>
      <c r="B192" s="90" t="s">
        <v>815</v>
      </c>
      <c r="C192" s="110">
        <f t="shared" si="19"/>
        <v>250.633334</v>
      </c>
      <c r="D192" s="116"/>
      <c r="E192" s="116"/>
      <c r="F192" s="116"/>
      <c r="G192" s="116"/>
      <c r="H192" s="116">
        <v>236.179334</v>
      </c>
      <c r="I192" s="116">
        <v>2.4</v>
      </c>
      <c r="J192" s="116"/>
      <c r="K192" s="116">
        <v>12.054</v>
      </c>
      <c r="L192" s="116"/>
      <c r="M192" s="116"/>
      <c r="N192" s="116"/>
      <c r="O192" s="116"/>
      <c r="P192" s="71"/>
    </row>
    <row r="193" ht="16.5" hidden="1" spans="1:16">
      <c r="A193" s="115" t="s">
        <v>816</v>
      </c>
      <c r="B193" s="90" t="s">
        <v>817</v>
      </c>
      <c r="C193" s="110">
        <f t="shared" si="19"/>
        <v>254.904405</v>
      </c>
      <c r="D193" s="116"/>
      <c r="E193" s="116"/>
      <c r="F193" s="116"/>
      <c r="G193" s="116"/>
      <c r="H193" s="116">
        <v>242.850405</v>
      </c>
      <c r="I193" s="116"/>
      <c r="J193" s="116"/>
      <c r="K193" s="116">
        <v>12.054</v>
      </c>
      <c r="L193" s="116"/>
      <c r="M193" s="116"/>
      <c r="N193" s="116"/>
      <c r="O193" s="116"/>
      <c r="P193" s="71"/>
    </row>
    <row r="194" ht="16.5" hidden="1" spans="1:16">
      <c r="A194" s="115" t="s">
        <v>818</v>
      </c>
      <c r="B194" s="90" t="s">
        <v>819</v>
      </c>
      <c r="C194" s="110">
        <f t="shared" si="19"/>
        <v>150.714622</v>
      </c>
      <c r="D194" s="116"/>
      <c r="E194" s="116"/>
      <c r="F194" s="116"/>
      <c r="G194" s="116"/>
      <c r="H194" s="116">
        <v>147.714622</v>
      </c>
      <c r="I194" s="116">
        <v>3</v>
      </c>
      <c r="J194" s="116"/>
      <c r="K194" s="116"/>
      <c r="L194" s="116"/>
      <c r="M194" s="116"/>
      <c r="N194" s="116"/>
      <c r="O194" s="116"/>
      <c r="P194" s="71"/>
    </row>
    <row r="195" ht="16.5" hidden="1" spans="1:16">
      <c r="A195" s="115" t="s">
        <v>820</v>
      </c>
      <c r="B195" s="90" t="s">
        <v>821</v>
      </c>
      <c r="C195" s="110">
        <f t="shared" si="19"/>
        <v>65.988893</v>
      </c>
      <c r="D195" s="116"/>
      <c r="E195" s="116"/>
      <c r="F195" s="116"/>
      <c r="G195" s="116"/>
      <c r="H195" s="116">
        <v>65.988893</v>
      </c>
      <c r="I195" s="116"/>
      <c r="J195" s="116"/>
      <c r="K195" s="116"/>
      <c r="L195" s="116"/>
      <c r="M195" s="116"/>
      <c r="N195" s="116"/>
      <c r="O195" s="116"/>
      <c r="P195" s="71"/>
    </row>
    <row r="196" ht="16.5" hidden="1" spans="1:16">
      <c r="A196" s="115" t="s">
        <v>823</v>
      </c>
      <c r="B196" s="90" t="s">
        <v>2234</v>
      </c>
      <c r="C196" s="110">
        <f t="shared" si="19"/>
        <v>21181.964937</v>
      </c>
      <c r="D196" s="116">
        <v>1137.636801</v>
      </c>
      <c r="E196" s="116">
        <v>19831.701402</v>
      </c>
      <c r="F196" s="116">
        <v>6.3504</v>
      </c>
      <c r="G196" s="116"/>
      <c r="H196" s="116">
        <v>2.232</v>
      </c>
      <c r="I196" s="116"/>
      <c r="J196" s="116"/>
      <c r="K196" s="116">
        <v>204.044334</v>
      </c>
      <c r="L196" s="116"/>
      <c r="M196" s="116"/>
      <c r="N196" s="116"/>
      <c r="O196" s="116"/>
      <c r="P196" s="71"/>
    </row>
    <row r="197" ht="16.5" hidden="1" spans="1:16">
      <c r="A197" s="115" t="s">
        <v>825</v>
      </c>
      <c r="B197" s="90" t="s">
        <v>826</v>
      </c>
      <c r="C197" s="110">
        <f t="shared" si="19"/>
        <v>343.083742</v>
      </c>
      <c r="D197" s="116"/>
      <c r="E197" s="116"/>
      <c r="F197" s="116"/>
      <c r="G197" s="116"/>
      <c r="H197" s="116">
        <v>305.381242</v>
      </c>
      <c r="I197" s="116">
        <v>1.512</v>
      </c>
      <c r="J197" s="116"/>
      <c r="K197" s="116">
        <v>36.1905</v>
      </c>
      <c r="L197" s="116"/>
      <c r="M197" s="116"/>
      <c r="N197" s="116"/>
      <c r="O197" s="116"/>
      <c r="P197" s="71"/>
    </row>
    <row r="198" ht="16.5" hidden="1" spans="1:16">
      <c r="A198" s="115" t="s">
        <v>827</v>
      </c>
      <c r="B198" s="90" t="s">
        <v>828</v>
      </c>
      <c r="C198" s="110">
        <f t="shared" si="19"/>
        <v>18.446455</v>
      </c>
      <c r="D198" s="116"/>
      <c r="E198" s="116"/>
      <c r="F198" s="116"/>
      <c r="G198" s="116"/>
      <c r="H198" s="116">
        <v>18.345655</v>
      </c>
      <c r="I198" s="116">
        <v>0.1008</v>
      </c>
      <c r="J198" s="116"/>
      <c r="K198" s="116"/>
      <c r="L198" s="116"/>
      <c r="M198" s="116"/>
      <c r="N198" s="116"/>
      <c r="O198" s="116"/>
      <c r="P198" s="71"/>
    </row>
    <row r="199" ht="16.5" hidden="1" spans="1:16">
      <c r="A199" s="115" t="s">
        <v>829</v>
      </c>
      <c r="B199" s="90" t="s">
        <v>830</v>
      </c>
      <c r="C199" s="110">
        <f t="shared" si="19"/>
        <v>16.05499</v>
      </c>
      <c r="D199" s="116"/>
      <c r="E199" s="116"/>
      <c r="F199" s="116"/>
      <c r="G199" s="116"/>
      <c r="H199" s="116">
        <v>15.95419</v>
      </c>
      <c r="I199" s="116">
        <v>0.1008</v>
      </c>
      <c r="J199" s="116"/>
      <c r="K199" s="116"/>
      <c r="L199" s="116"/>
      <c r="M199" s="116"/>
      <c r="N199" s="116"/>
      <c r="O199" s="116"/>
      <c r="P199" s="71"/>
    </row>
    <row r="200" ht="16.5" hidden="1" spans="1:16">
      <c r="A200" s="115" t="s">
        <v>831</v>
      </c>
      <c r="B200" s="90" t="s">
        <v>832</v>
      </c>
      <c r="C200" s="110">
        <f t="shared" si="19"/>
        <v>293.566022</v>
      </c>
      <c r="D200" s="116"/>
      <c r="E200" s="116"/>
      <c r="F200" s="116"/>
      <c r="G200" s="116"/>
      <c r="H200" s="116">
        <v>283.993022</v>
      </c>
      <c r="I200" s="116">
        <v>0.504</v>
      </c>
      <c r="J200" s="116"/>
      <c r="K200" s="116">
        <v>9.069</v>
      </c>
      <c r="L200" s="116"/>
      <c r="M200" s="116"/>
      <c r="N200" s="116"/>
      <c r="O200" s="116"/>
      <c r="P200" s="71"/>
    </row>
    <row r="201" ht="16.5" hidden="1" spans="1:16">
      <c r="A201" s="115" t="s">
        <v>833</v>
      </c>
      <c r="B201" s="90" t="s">
        <v>834</v>
      </c>
      <c r="C201" s="110">
        <f t="shared" si="19"/>
        <v>706.246358</v>
      </c>
      <c r="D201" s="116"/>
      <c r="E201" s="116"/>
      <c r="F201" s="116"/>
      <c r="G201" s="116"/>
      <c r="H201" s="116">
        <v>705.641558</v>
      </c>
      <c r="I201" s="116">
        <v>0.6048</v>
      </c>
      <c r="J201" s="116"/>
      <c r="K201" s="116"/>
      <c r="L201" s="116"/>
      <c r="M201" s="116"/>
      <c r="N201" s="116"/>
      <c r="O201" s="116"/>
      <c r="P201" s="117"/>
    </row>
    <row r="202" ht="16.5" hidden="1" spans="1:16">
      <c r="A202" s="115" t="s">
        <v>835</v>
      </c>
      <c r="B202" s="90" t="s">
        <v>836</v>
      </c>
      <c r="C202" s="110">
        <f t="shared" si="19"/>
        <v>99.378888</v>
      </c>
      <c r="D202" s="116"/>
      <c r="E202" s="116"/>
      <c r="F202" s="116"/>
      <c r="G202" s="116"/>
      <c r="H202" s="116">
        <v>98.774088</v>
      </c>
      <c r="I202" s="116">
        <v>0.6048</v>
      </c>
      <c r="J202" s="116"/>
      <c r="K202" s="116"/>
      <c r="L202" s="116"/>
      <c r="M202" s="116"/>
      <c r="N202" s="116"/>
      <c r="O202" s="116"/>
      <c r="P202" s="71"/>
    </row>
    <row r="203" ht="16.5" hidden="1" spans="1:16">
      <c r="A203" s="115" t="s">
        <v>838</v>
      </c>
      <c r="B203" s="90" t="s">
        <v>2235</v>
      </c>
      <c r="C203" s="110">
        <f t="shared" si="19"/>
        <v>12944.028123</v>
      </c>
      <c r="D203" s="116">
        <v>877.537121</v>
      </c>
      <c r="E203" s="116">
        <v>3585.597793</v>
      </c>
      <c r="F203" s="116">
        <v>8369.8</v>
      </c>
      <c r="G203" s="116"/>
      <c r="H203" s="116"/>
      <c r="I203" s="116"/>
      <c r="J203" s="116"/>
      <c r="K203" s="116">
        <v>111.093209</v>
      </c>
      <c r="L203" s="116"/>
      <c r="M203" s="116"/>
      <c r="N203" s="116"/>
      <c r="O203" s="116"/>
      <c r="P203" s="71"/>
    </row>
    <row r="204" ht="16.5" hidden="1" spans="1:16">
      <c r="A204" s="115" t="s">
        <v>840</v>
      </c>
      <c r="B204" s="90" t="s">
        <v>841</v>
      </c>
      <c r="C204" s="110">
        <f t="shared" si="19"/>
        <v>256.337861</v>
      </c>
      <c r="D204" s="116"/>
      <c r="E204" s="116"/>
      <c r="F204" s="116"/>
      <c r="G204" s="116"/>
      <c r="H204" s="116">
        <v>232.229861</v>
      </c>
      <c r="I204" s="116"/>
      <c r="J204" s="116"/>
      <c r="K204" s="116">
        <v>24.108</v>
      </c>
      <c r="L204" s="116"/>
      <c r="M204" s="116"/>
      <c r="N204" s="116"/>
      <c r="O204" s="116"/>
      <c r="P204" s="71"/>
    </row>
    <row r="205" ht="16.5" hidden="1" spans="1:15">
      <c r="A205" s="98" t="s">
        <v>842</v>
      </c>
      <c r="B205" s="96" t="s">
        <v>843</v>
      </c>
      <c r="C205" s="110">
        <f t="shared" si="19"/>
        <v>15.488086</v>
      </c>
      <c r="D205" s="116"/>
      <c r="E205" s="116"/>
      <c r="F205" s="116"/>
      <c r="G205" s="116"/>
      <c r="H205" s="116">
        <v>15.488086</v>
      </c>
      <c r="I205" s="116"/>
      <c r="J205" s="116"/>
      <c r="K205" s="116"/>
      <c r="L205" s="116"/>
      <c r="M205" s="116"/>
      <c r="N205" s="116"/>
      <c r="O205" s="116"/>
    </row>
    <row r="206" ht="16.5" hidden="1" spans="1:16">
      <c r="A206" s="115" t="s">
        <v>844</v>
      </c>
      <c r="B206" s="90" t="s">
        <v>845</v>
      </c>
      <c r="C206" s="110">
        <f t="shared" si="19"/>
        <v>74.281439</v>
      </c>
      <c r="D206" s="116"/>
      <c r="E206" s="116"/>
      <c r="F206" s="116"/>
      <c r="G206" s="116"/>
      <c r="H206" s="116">
        <v>68.254439</v>
      </c>
      <c r="I206" s="116"/>
      <c r="J206" s="116"/>
      <c r="K206" s="116">
        <v>6.027</v>
      </c>
      <c r="L206" s="116"/>
      <c r="M206" s="116"/>
      <c r="N206" s="116"/>
      <c r="O206" s="116"/>
      <c r="P206" s="71"/>
    </row>
    <row r="207" ht="16.5" hidden="1" spans="1:16">
      <c r="A207" s="115" t="s">
        <v>846</v>
      </c>
      <c r="B207" s="90" t="s">
        <v>847</v>
      </c>
      <c r="C207" s="110">
        <f t="shared" si="19"/>
        <v>81.350682</v>
      </c>
      <c r="D207" s="116"/>
      <c r="E207" s="116"/>
      <c r="F207" s="116"/>
      <c r="G207" s="116"/>
      <c r="H207" s="116">
        <v>78.337182</v>
      </c>
      <c r="I207" s="116"/>
      <c r="J207" s="116"/>
      <c r="K207" s="116">
        <v>3.0135</v>
      </c>
      <c r="L207" s="116"/>
      <c r="M207" s="116"/>
      <c r="N207" s="116"/>
      <c r="O207" s="116"/>
      <c r="P207" s="71"/>
    </row>
    <row r="208" ht="16.5" hidden="1" spans="1:16">
      <c r="A208" s="115" t="s">
        <v>848</v>
      </c>
      <c r="B208" s="90" t="s">
        <v>849</v>
      </c>
      <c r="C208" s="110">
        <f t="shared" si="19"/>
        <v>33.912123</v>
      </c>
      <c r="D208" s="116"/>
      <c r="E208" s="116"/>
      <c r="F208" s="116"/>
      <c r="G208" s="116"/>
      <c r="H208" s="116">
        <v>33.912123</v>
      </c>
      <c r="I208" s="116"/>
      <c r="J208" s="116"/>
      <c r="K208" s="116"/>
      <c r="L208" s="116"/>
      <c r="M208" s="116"/>
      <c r="N208" s="116"/>
      <c r="O208" s="116"/>
      <c r="P208" s="71"/>
    </row>
    <row r="209" ht="16.5" hidden="1" spans="1:16">
      <c r="A209" s="115" t="s">
        <v>851</v>
      </c>
      <c r="B209" s="90" t="s">
        <v>2236</v>
      </c>
      <c r="C209" s="110">
        <f t="shared" si="19"/>
        <v>4310.547894</v>
      </c>
      <c r="D209" s="116">
        <v>657.126274</v>
      </c>
      <c r="E209" s="116">
        <v>3573.09109</v>
      </c>
      <c r="F209" s="116">
        <v>4</v>
      </c>
      <c r="G209" s="116"/>
      <c r="H209" s="116"/>
      <c r="I209" s="116"/>
      <c r="J209" s="116"/>
      <c r="K209" s="116">
        <v>76.33053</v>
      </c>
      <c r="L209" s="116"/>
      <c r="M209" s="116"/>
      <c r="N209" s="116"/>
      <c r="O209" s="116"/>
      <c r="P209" s="71"/>
    </row>
    <row r="210" ht="16.5" hidden="1" spans="1:16">
      <c r="A210" s="115" t="s">
        <v>853</v>
      </c>
      <c r="B210" s="90" t="s">
        <v>854</v>
      </c>
      <c r="C210" s="110">
        <f t="shared" si="19"/>
        <v>269.75145</v>
      </c>
      <c r="D210" s="116"/>
      <c r="E210" s="116"/>
      <c r="F210" s="116"/>
      <c r="G210" s="116"/>
      <c r="H210" s="116">
        <v>243.62945</v>
      </c>
      <c r="I210" s="116">
        <v>1</v>
      </c>
      <c r="J210" s="116"/>
      <c r="K210" s="116">
        <v>25.122</v>
      </c>
      <c r="L210" s="116"/>
      <c r="M210" s="116"/>
      <c r="N210" s="116"/>
      <c r="O210" s="116"/>
      <c r="P210" s="71"/>
    </row>
    <row r="211" ht="16.5" hidden="1" spans="1:16">
      <c r="A211" s="115" t="s">
        <v>855</v>
      </c>
      <c r="B211" s="90" t="s">
        <v>856</v>
      </c>
      <c r="C211" s="110">
        <f t="shared" si="19"/>
        <v>15.906661</v>
      </c>
      <c r="D211" s="116"/>
      <c r="E211" s="116"/>
      <c r="F211" s="116"/>
      <c r="G211" s="116"/>
      <c r="H211" s="116">
        <v>15.856661</v>
      </c>
      <c r="I211" s="116">
        <v>0.05</v>
      </c>
      <c r="J211" s="116"/>
      <c r="K211" s="116"/>
      <c r="L211" s="116"/>
      <c r="M211" s="116"/>
      <c r="N211" s="116"/>
      <c r="O211" s="116"/>
      <c r="P211" s="71"/>
    </row>
    <row r="212" ht="16.5" hidden="1" spans="1:16">
      <c r="A212" s="115" t="s">
        <v>857</v>
      </c>
      <c r="B212" s="90" t="s">
        <v>858</v>
      </c>
      <c r="C212" s="110">
        <f t="shared" si="19"/>
        <v>40.878354</v>
      </c>
      <c r="D212" s="116"/>
      <c r="E212" s="116"/>
      <c r="F212" s="116"/>
      <c r="G212" s="116"/>
      <c r="H212" s="116">
        <v>40.778354</v>
      </c>
      <c r="I212" s="116">
        <v>0.1</v>
      </c>
      <c r="J212" s="116"/>
      <c r="K212" s="116"/>
      <c r="L212" s="116"/>
      <c r="M212" s="116"/>
      <c r="N212" s="116"/>
      <c r="O212" s="116"/>
      <c r="P212" s="71"/>
    </row>
    <row r="213" ht="16.5" hidden="1" spans="1:16">
      <c r="A213" s="115" t="s">
        <v>859</v>
      </c>
      <c r="B213" s="90" t="s">
        <v>860</v>
      </c>
      <c r="C213" s="110">
        <f t="shared" si="19"/>
        <v>33.533517</v>
      </c>
      <c r="D213" s="116"/>
      <c r="E213" s="116"/>
      <c r="F213" s="116"/>
      <c r="G213" s="116"/>
      <c r="H213" s="116">
        <v>33.433517</v>
      </c>
      <c r="I213" s="116">
        <v>0.1</v>
      </c>
      <c r="J213" s="116"/>
      <c r="K213" s="116"/>
      <c r="L213" s="116"/>
      <c r="M213" s="116"/>
      <c r="N213" s="116"/>
      <c r="O213" s="116"/>
      <c r="P213" s="71"/>
    </row>
    <row r="214" ht="16.5" hidden="1" spans="1:16">
      <c r="A214" s="115" t="s">
        <v>862</v>
      </c>
      <c r="B214" s="90" t="s">
        <v>2237</v>
      </c>
      <c r="C214" s="110">
        <f t="shared" si="19"/>
        <v>14979.777093</v>
      </c>
      <c r="D214" s="116">
        <v>3600.955657</v>
      </c>
      <c r="E214" s="116">
        <v>3543.044206</v>
      </c>
      <c r="F214" s="116">
        <v>7573.86</v>
      </c>
      <c r="G214" s="116"/>
      <c r="H214" s="116">
        <v>73</v>
      </c>
      <c r="I214" s="116"/>
      <c r="J214" s="116"/>
      <c r="K214" s="116">
        <v>188.91723</v>
      </c>
      <c r="L214" s="116"/>
      <c r="M214" s="116"/>
      <c r="N214" s="116"/>
      <c r="O214" s="116"/>
      <c r="P214" s="71"/>
    </row>
    <row r="215" ht="16.5" hidden="1" spans="1:16">
      <c r="A215" s="115" t="s">
        <v>864</v>
      </c>
      <c r="B215" s="90" t="s">
        <v>865</v>
      </c>
      <c r="C215" s="110">
        <f t="shared" si="19"/>
        <v>269.942229</v>
      </c>
      <c r="D215" s="116"/>
      <c r="E215" s="116"/>
      <c r="F215" s="116"/>
      <c r="G215" s="116"/>
      <c r="H215" s="116">
        <v>252.846729</v>
      </c>
      <c r="I215" s="116"/>
      <c r="J215" s="116"/>
      <c r="K215" s="116">
        <v>17.0955</v>
      </c>
      <c r="L215" s="116"/>
      <c r="M215" s="116"/>
      <c r="N215" s="116"/>
      <c r="O215" s="116"/>
      <c r="P215" s="71"/>
    </row>
    <row r="216" ht="16.5" hidden="1" spans="1:16">
      <c r="A216" s="95" t="s">
        <v>866</v>
      </c>
      <c r="B216" s="96" t="s">
        <v>867</v>
      </c>
      <c r="C216" s="110">
        <f t="shared" si="19"/>
        <v>13.445669</v>
      </c>
      <c r="D216" s="116"/>
      <c r="E216" s="116"/>
      <c r="F216" s="116"/>
      <c r="G216" s="116"/>
      <c r="H216" s="116">
        <v>13.345669</v>
      </c>
      <c r="I216" s="116">
        <v>0.1</v>
      </c>
      <c r="J216" s="116"/>
      <c r="K216" s="116"/>
      <c r="L216" s="116"/>
      <c r="M216" s="116"/>
      <c r="N216" s="116"/>
      <c r="O216" s="116"/>
      <c r="P216" s="71"/>
    </row>
    <row r="217" ht="16.5" hidden="1" spans="1:16">
      <c r="A217" s="115" t="s">
        <v>868</v>
      </c>
      <c r="B217" s="90" t="s">
        <v>869</v>
      </c>
      <c r="C217" s="110">
        <f t="shared" si="19"/>
        <v>111.479605</v>
      </c>
      <c r="D217" s="116"/>
      <c r="E217" s="116"/>
      <c r="F217" s="116"/>
      <c r="G217" s="116"/>
      <c r="H217" s="116">
        <v>108.466105</v>
      </c>
      <c r="I217" s="116"/>
      <c r="J217" s="116"/>
      <c r="K217" s="116">
        <v>3.0135</v>
      </c>
      <c r="L217" s="116"/>
      <c r="M217" s="116"/>
      <c r="N217" s="116"/>
      <c r="O217" s="116"/>
      <c r="P217" s="71"/>
    </row>
    <row r="218" ht="16.5" hidden="1" spans="1:16">
      <c r="A218" s="115" t="s">
        <v>870</v>
      </c>
      <c r="B218" s="90" t="s">
        <v>871</v>
      </c>
      <c r="C218" s="110">
        <f t="shared" si="19"/>
        <v>106.198718</v>
      </c>
      <c r="D218" s="116"/>
      <c r="E218" s="116"/>
      <c r="F218" s="116"/>
      <c r="G218" s="116"/>
      <c r="H218" s="116">
        <v>106.198718</v>
      </c>
      <c r="I218" s="116"/>
      <c r="J218" s="116"/>
      <c r="K218" s="116"/>
      <c r="L218" s="116"/>
      <c r="M218" s="116"/>
      <c r="N218" s="116"/>
      <c r="O218" s="116"/>
      <c r="P218" s="71"/>
    </row>
    <row r="219" ht="16.5" hidden="1" spans="1:16">
      <c r="A219" s="115" t="s">
        <v>872</v>
      </c>
      <c r="B219" s="90" t="s">
        <v>873</v>
      </c>
      <c r="C219" s="110">
        <f t="shared" si="19"/>
        <v>165.469841</v>
      </c>
      <c r="D219" s="116"/>
      <c r="E219" s="116"/>
      <c r="F219" s="116"/>
      <c r="G219" s="116"/>
      <c r="H219" s="116">
        <v>165.469841</v>
      </c>
      <c r="I219" s="116"/>
      <c r="J219" s="116"/>
      <c r="K219" s="116"/>
      <c r="L219" s="116"/>
      <c r="M219" s="116"/>
      <c r="N219" s="116"/>
      <c r="O219" s="116"/>
      <c r="P219" s="71"/>
    </row>
    <row r="220" ht="16.5" hidden="1" spans="1:16">
      <c r="A220" s="115" t="s">
        <v>874</v>
      </c>
      <c r="B220" s="90" t="s">
        <v>875</v>
      </c>
      <c r="C220" s="110">
        <f t="shared" si="19"/>
        <v>34.14204</v>
      </c>
      <c r="D220" s="116"/>
      <c r="E220" s="116"/>
      <c r="F220" s="116"/>
      <c r="G220" s="116"/>
      <c r="H220" s="116">
        <v>34.14204</v>
      </c>
      <c r="I220" s="116"/>
      <c r="J220" s="116"/>
      <c r="K220" s="116"/>
      <c r="L220" s="116"/>
      <c r="M220" s="116"/>
      <c r="N220" s="116"/>
      <c r="O220" s="116"/>
      <c r="P220" s="71"/>
    </row>
    <row r="221" ht="16.5" hidden="1" spans="1:16">
      <c r="A221" s="115" t="s">
        <v>877</v>
      </c>
      <c r="B221" s="90" t="s">
        <v>2238</v>
      </c>
      <c r="C221" s="110">
        <f t="shared" si="19"/>
        <v>2889.468029</v>
      </c>
      <c r="D221" s="116">
        <v>592.984727</v>
      </c>
      <c r="E221" s="116">
        <v>1545.994711</v>
      </c>
      <c r="F221" s="116">
        <v>615</v>
      </c>
      <c r="G221" s="116"/>
      <c r="H221" s="116"/>
      <c r="I221" s="116"/>
      <c r="J221" s="116"/>
      <c r="K221" s="116">
        <v>135.488591</v>
      </c>
      <c r="L221" s="116"/>
      <c r="M221" s="116"/>
      <c r="N221" s="116"/>
      <c r="O221" s="116"/>
      <c r="P221" s="71"/>
    </row>
    <row r="222" ht="16.5" hidden="1" spans="1:16">
      <c r="A222" s="115" t="s">
        <v>879</v>
      </c>
      <c r="B222" s="90" t="s">
        <v>880</v>
      </c>
      <c r="C222" s="110">
        <f t="shared" si="19"/>
        <v>243.437463</v>
      </c>
      <c r="D222" s="116"/>
      <c r="E222" s="116"/>
      <c r="F222" s="116"/>
      <c r="G222" s="116"/>
      <c r="H222" s="116">
        <v>234.396963</v>
      </c>
      <c r="I222" s="116"/>
      <c r="J222" s="116"/>
      <c r="K222" s="116">
        <v>9.0405</v>
      </c>
      <c r="L222" s="116"/>
      <c r="M222" s="116"/>
      <c r="N222" s="116"/>
      <c r="O222" s="116"/>
      <c r="P222" s="71"/>
    </row>
    <row r="223" ht="16.5" hidden="1" spans="1:16">
      <c r="A223" s="115" t="s">
        <v>881</v>
      </c>
      <c r="B223" s="90" t="s">
        <v>882</v>
      </c>
      <c r="C223" s="110">
        <f t="shared" si="19"/>
        <v>16.235264</v>
      </c>
      <c r="D223" s="116"/>
      <c r="E223" s="116"/>
      <c r="F223" s="116"/>
      <c r="G223" s="116"/>
      <c r="H223" s="116">
        <v>16.235264</v>
      </c>
      <c r="I223" s="116"/>
      <c r="J223" s="116"/>
      <c r="K223" s="116"/>
      <c r="L223" s="116"/>
      <c r="M223" s="116"/>
      <c r="N223" s="116"/>
      <c r="O223" s="116"/>
      <c r="P223" s="71"/>
    </row>
    <row r="224" ht="16.5" hidden="1" spans="1:16">
      <c r="A224" s="115" t="s">
        <v>883</v>
      </c>
      <c r="B224" s="90" t="s">
        <v>884</v>
      </c>
      <c r="C224" s="110">
        <f t="shared" si="19"/>
        <v>42.577476</v>
      </c>
      <c r="D224" s="116"/>
      <c r="E224" s="116"/>
      <c r="F224" s="116"/>
      <c r="G224" s="116"/>
      <c r="H224" s="116">
        <v>35.577476</v>
      </c>
      <c r="I224" s="116"/>
      <c r="J224" s="116"/>
      <c r="K224" s="116">
        <v>7</v>
      </c>
      <c r="L224" s="116"/>
      <c r="M224" s="116"/>
      <c r="N224" s="116"/>
      <c r="O224" s="116"/>
      <c r="P224" s="71"/>
    </row>
    <row r="225" ht="16.5" hidden="1" spans="1:16">
      <c r="A225" s="115" t="s">
        <v>885</v>
      </c>
      <c r="B225" s="90" t="s">
        <v>886</v>
      </c>
      <c r="C225" s="110">
        <f t="shared" si="19"/>
        <v>32.84713</v>
      </c>
      <c r="D225" s="116"/>
      <c r="E225" s="116"/>
      <c r="F225" s="116"/>
      <c r="G225" s="116"/>
      <c r="H225" s="116">
        <v>32.84713</v>
      </c>
      <c r="I225" s="116"/>
      <c r="J225" s="116"/>
      <c r="K225" s="116"/>
      <c r="L225" s="116"/>
      <c r="M225" s="116"/>
      <c r="N225" s="116"/>
      <c r="O225" s="116"/>
      <c r="P225" s="71"/>
    </row>
    <row r="226" ht="16.5" hidden="1" spans="1:16">
      <c r="A226" s="115" t="s">
        <v>888</v>
      </c>
      <c r="B226" s="90" t="s">
        <v>2239</v>
      </c>
      <c r="C226" s="110">
        <f t="shared" si="19"/>
        <v>13336.289057</v>
      </c>
      <c r="D226" s="116">
        <v>1076.186533</v>
      </c>
      <c r="E226" s="116">
        <v>12095.255066</v>
      </c>
      <c r="F226" s="116">
        <v>9</v>
      </c>
      <c r="G226" s="116"/>
      <c r="H226" s="116"/>
      <c r="I226" s="116"/>
      <c r="J226" s="116"/>
      <c r="K226" s="116">
        <v>155.847458</v>
      </c>
      <c r="L226" s="116"/>
      <c r="M226" s="116"/>
      <c r="N226" s="116"/>
      <c r="O226" s="116"/>
      <c r="P226" s="71"/>
    </row>
    <row r="227" ht="16.5" hidden="1" spans="1:16">
      <c r="A227" s="115" t="s">
        <v>890</v>
      </c>
      <c r="B227" s="90" t="s">
        <v>891</v>
      </c>
      <c r="C227" s="110">
        <f t="shared" si="19"/>
        <v>274.028884</v>
      </c>
      <c r="D227" s="116"/>
      <c r="E227" s="116"/>
      <c r="F227" s="116"/>
      <c r="G227" s="116"/>
      <c r="H227" s="116">
        <v>261.974884</v>
      </c>
      <c r="I227" s="116"/>
      <c r="J227" s="116"/>
      <c r="K227" s="116">
        <v>12.054</v>
      </c>
      <c r="L227" s="116"/>
      <c r="M227" s="116"/>
      <c r="N227" s="116"/>
      <c r="O227" s="116"/>
      <c r="P227" s="71"/>
    </row>
    <row r="228" ht="16.5" hidden="1" spans="1:16">
      <c r="A228" s="98" t="s">
        <v>892</v>
      </c>
      <c r="B228" s="96" t="s">
        <v>893</v>
      </c>
      <c r="C228" s="110">
        <f t="shared" si="19"/>
        <v>17.76869</v>
      </c>
      <c r="D228" s="116"/>
      <c r="E228" s="116"/>
      <c r="F228" s="116"/>
      <c r="G228" s="116"/>
      <c r="H228" s="116">
        <v>17.76869</v>
      </c>
      <c r="I228" s="116"/>
      <c r="J228" s="116"/>
      <c r="K228" s="116"/>
      <c r="L228" s="116"/>
      <c r="M228" s="116"/>
      <c r="N228" s="116"/>
      <c r="O228" s="116"/>
      <c r="P228" s="71"/>
    </row>
    <row r="229" ht="16.5" hidden="1" spans="1:16">
      <c r="A229" s="115" t="s">
        <v>894</v>
      </c>
      <c r="B229" s="90" t="s">
        <v>895</v>
      </c>
      <c r="C229" s="110">
        <f t="shared" si="19"/>
        <v>99.785981</v>
      </c>
      <c r="D229" s="116"/>
      <c r="E229" s="116"/>
      <c r="F229" s="116"/>
      <c r="G229" s="116"/>
      <c r="H229" s="116">
        <v>99.785981</v>
      </c>
      <c r="I229" s="116"/>
      <c r="J229" s="116"/>
      <c r="K229" s="116"/>
      <c r="L229" s="116"/>
      <c r="M229" s="116"/>
      <c r="N229" s="116"/>
      <c r="O229" s="116"/>
      <c r="P229" s="71"/>
    </row>
    <row r="230" ht="16.5" hidden="1" spans="1:16">
      <c r="A230" s="115" t="s">
        <v>896</v>
      </c>
      <c r="B230" s="90" t="s">
        <v>897</v>
      </c>
      <c r="C230" s="110">
        <f t="shared" si="19"/>
        <v>106.189139</v>
      </c>
      <c r="D230" s="116"/>
      <c r="E230" s="116"/>
      <c r="F230" s="116"/>
      <c r="G230" s="116"/>
      <c r="H230" s="116">
        <v>106.189139</v>
      </c>
      <c r="I230" s="116"/>
      <c r="J230" s="116"/>
      <c r="K230" s="116"/>
      <c r="L230" s="116"/>
      <c r="M230" s="116"/>
      <c r="N230" s="116"/>
      <c r="O230" s="116"/>
      <c r="P230" s="71"/>
    </row>
    <row r="231" ht="16.5" hidden="1" spans="1:16">
      <c r="A231" s="115" t="s">
        <v>898</v>
      </c>
      <c r="B231" s="90" t="s">
        <v>899</v>
      </c>
      <c r="C231" s="110">
        <f t="shared" si="19"/>
        <v>206.393441</v>
      </c>
      <c r="D231" s="116"/>
      <c r="E231" s="116"/>
      <c r="F231" s="116"/>
      <c r="G231" s="116"/>
      <c r="H231" s="116">
        <v>200.366441</v>
      </c>
      <c r="I231" s="116"/>
      <c r="J231" s="116"/>
      <c r="K231" s="116">
        <v>6.027</v>
      </c>
      <c r="L231" s="116"/>
      <c r="M231" s="116"/>
      <c r="N231" s="116"/>
      <c r="O231" s="116"/>
      <c r="P231" s="71"/>
    </row>
    <row r="232" ht="16.5" hidden="1" spans="1:16">
      <c r="A232" s="115" t="s">
        <v>900</v>
      </c>
      <c r="B232" s="90" t="s">
        <v>901</v>
      </c>
      <c r="C232" s="110">
        <f t="shared" si="19"/>
        <v>33.50963</v>
      </c>
      <c r="D232" s="116"/>
      <c r="E232" s="116"/>
      <c r="F232" s="116"/>
      <c r="G232" s="116"/>
      <c r="H232" s="116">
        <v>33.50963</v>
      </c>
      <c r="I232" s="116"/>
      <c r="J232" s="116"/>
      <c r="K232" s="116"/>
      <c r="L232" s="116"/>
      <c r="M232" s="116"/>
      <c r="N232" s="116"/>
      <c r="O232" s="116"/>
      <c r="P232" s="71"/>
    </row>
    <row r="233" ht="16.5" hidden="1" spans="1:16">
      <c r="A233" s="115" t="s">
        <v>903</v>
      </c>
      <c r="B233" s="90" t="s">
        <v>2240</v>
      </c>
      <c r="C233" s="110">
        <f t="shared" si="19"/>
        <v>3102.786837</v>
      </c>
      <c r="D233" s="116">
        <v>910.070054</v>
      </c>
      <c r="E233" s="116">
        <v>972.782538</v>
      </c>
      <c r="F233" s="116">
        <v>105.04</v>
      </c>
      <c r="G233" s="116"/>
      <c r="H233" s="116"/>
      <c r="I233" s="116"/>
      <c r="J233" s="116"/>
      <c r="K233" s="116">
        <v>204.684245</v>
      </c>
      <c r="L233" s="116"/>
      <c r="M233" s="116"/>
      <c r="N233" s="116"/>
      <c r="O233" s="116">
        <v>910.21</v>
      </c>
      <c r="P233" s="71"/>
    </row>
    <row r="234" ht="16.5" hidden="1" spans="1:16">
      <c r="A234" s="115" t="s">
        <v>905</v>
      </c>
      <c r="B234" s="90" t="s">
        <v>906</v>
      </c>
      <c r="C234" s="110">
        <f t="shared" si="19"/>
        <v>304.563559</v>
      </c>
      <c r="D234" s="116"/>
      <c r="E234" s="116"/>
      <c r="F234" s="116"/>
      <c r="G234" s="116"/>
      <c r="H234" s="116">
        <v>284.158159</v>
      </c>
      <c r="I234" s="116">
        <v>1.3104</v>
      </c>
      <c r="J234" s="116"/>
      <c r="K234" s="116">
        <v>19.095</v>
      </c>
      <c r="L234" s="116"/>
      <c r="M234" s="116"/>
      <c r="N234" s="116"/>
      <c r="O234" s="116"/>
      <c r="P234" s="71"/>
    </row>
    <row r="235" ht="16.5" hidden="1" spans="1:16">
      <c r="A235" s="115" t="s">
        <v>907</v>
      </c>
      <c r="B235" s="90" t="s">
        <v>908</v>
      </c>
      <c r="C235" s="110">
        <f t="shared" si="19"/>
        <v>126.647101</v>
      </c>
      <c r="D235" s="116"/>
      <c r="E235" s="116"/>
      <c r="F235" s="116"/>
      <c r="G235" s="116"/>
      <c r="H235" s="116">
        <v>113.988301</v>
      </c>
      <c r="I235" s="116">
        <v>0.6048</v>
      </c>
      <c r="J235" s="116"/>
      <c r="K235" s="116">
        <v>12.054</v>
      </c>
      <c r="L235" s="116"/>
      <c r="M235" s="116"/>
      <c r="N235" s="116"/>
      <c r="O235" s="116"/>
      <c r="P235" s="71"/>
    </row>
    <row r="236" ht="16.5" hidden="1" spans="1:16">
      <c r="A236" s="115" t="s">
        <v>909</v>
      </c>
      <c r="B236" s="90" t="s">
        <v>910</v>
      </c>
      <c r="C236" s="110">
        <f t="shared" si="19"/>
        <v>15.883188</v>
      </c>
      <c r="D236" s="116"/>
      <c r="E236" s="116"/>
      <c r="F236" s="116"/>
      <c r="G236" s="116"/>
      <c r="H236" s="116">
        <v>15.782388</v>
      </c>
      <c r="I236" s="116">
        <v>0.1008</v>
      </c>
      <c r="J236" s="116"/>
      <c r="K236" s="116"/>
      <c r="L236" s="116"/>
      <c r="M236" s="116"/>
      <c r="N236" s="116"/>
      <c r="O236" s="116"/>
      <c r="P236" s="71"/>
    </row>
    <row r="237" ht="16.5" hidden="1" spans="1:16">
      <c r="A237" s="115" t="s">
        <v>911</v>
      </c>
      <c r="B237" s="90" t="s">
        <v>912</v>
      </c>
      <c r="C237" s="110">
        <f t="shared" si="19"/>
        <v>51.118226</v>
      </c>
      <c r="D237" s="116"/>
      <c r="E237" s="116"/>
      <c r="F237" s="116"/>
      <c r="G237" s="116"/>
      <c r="H237" s="116">
        <v>50.815826</v>
      </c>
      <c r="I237" s="116">
        <v>0.3024</v>
      </c>
      <c r="J237" s="116"/>
      <c r="K237" s="116"/>
      <c r="L237" s="116"/>
      <c r="M237" s="116"/>
      <c r="N237" s="116"/>
      <c r="O237" s="116"/>
      <c r="P237" s="71"/>
    </row>
    <row r="238" ht="16.5" hidden="1" spans="1:16">
      <c r="A238" s="115" t="s">
        <v>913</v>
      </c>
      <c r="B238" s="90" t="s">
        <v>914</v>
      </c>
      <c r="C238" s="110">
        <f t="shared" si="19"/>
        <v>34.18247</v>
      </c>
      <c r="D238" s="116"/>
      <c r="E238" s="116"/>
      <c r="F238" s="116"/>
      <c r="G238" s="116"/>
      <c r="H238" s="116">
        <v>33.98087</v>
      </c>
      <c r="I238" s="116">
        <v>0.2016</v>
      </c>
      <c r="J238" s="116"/>
      <c r="K238" s="116"/>
      <c r="L238" s="116"/>
      <c r="M238" s="116"/>
      <c r="N238" s="116"/>
      <c r="O238" s="116"/>
      <c r="P238" s="71"/>
    </row>
    <row r="239" ht="16.5" hidden="1" spans="1:16">
      <c r="A239" s="115" t="s">
        <v>915</v>
      </c>
      <c r="B239" s="90" t="s">
        <v>916</v>
      </c>
      <c r="C239" s="110">
        <f t="shared" si="19"/>
        <v>81.186924</v>
      </c>
      <c r="D239" s="116"/>
      <c r="E239" s="116"/>
      <c r="F239" s="116"/>
      <c r="G239" s="116"/>
      <c r="H239" s="116">
        <v>77.871024</v>
      </c>
      <c r="I239" s="116">
        <v>0.3024</v>
      </c>
      <c r="J239" s="116"/>
      <c r="K239" s="116">
        <v>3.0135</v>
      </c>
      <c r="L239" s="116"/>
      <c r="M239" s="116"/>
      <c r="N239" s="116"/>
      <c r="O239" s="116"/>
      <c r="P239" s="71"/>
    </row>
    <row r="240" ht="16.5" hidden="1" spans="1:16">
      <c r="A240" s="115" t="s">
        <v>918</v>
      </c>
      <c r="B240" s="90" t="s">
        <v>2241</v>
      </c>
      <c r="C240" s="110">
        <f t="shared" si="19"/>
        <v>2289.725422</v>
      </c>
      <c r="D240" s="116">
        <v>576.442745</v>
      </c>
      <c r="E240" s="116">
        <v>778.879781</v>
      </c>
      <c r="F240" s="116">
        <v>252.84</v>
      </c>
      <c r="G240" s="116"/>
      <c r="H240" s="116"/>
      <c r="I240" s="116"/>
      <c r="J240" s="116"/>
      <c r="K240" s="116">
        <v>681.562896</v>
      </c>
      <c r="L240" s="116"/>
      <c r="M240" s="116"/>
      <c r="N240" s="116"/>
      <c r="O240" s="116"/>
      <c r="P240" s="71"/>
    </row>
    <row r="241" ht="16.5" hidden="1" spans="1:16">
      <c r="A241" s="115" t="s">
        <v>920</v>
      </c>
      <c r="B241" s="90" t="s">
        <v>921</v>
      </c>
      <c r="C241" s="110">
        <f t="shared" si="19"/>
        <v>293.042164</v>
      </c>
      <c r="D241" s="116"/>
      <c r="E241" s="116"/>
      <c r="F241" s="116"/>
      <c r="G241" s="116"/>
      <c r="H241" s="116">
        <v>279.698164</v>
      </c>
      <c r="I241" s="116">
        <v>1.29</v>
      </c>
      <c r="J241" s="116"/>
      <c r="K241" s="116">
        <v>12.054</v>
      </c>
      <c r="L241" s="116"/>
      <c r="M241" s="116"/>
      <c r="N241" s="116"/>
      <c r="O241" s="116"/>
      <c r="P241" s="71"/>
    </row>
    <row r="242" ht="16.5" hidden="1" spans="1:16">
      <c r="A242" s="115" t="s">
        <v>922</v>
      </c>
      <c r="B242" s="90" t="s">
        <v>923</v>
      </c>
      <c r="C242" s="110">
        <f t="shared" si="19"/>
        <v>15.701436</v>
      </c>
      <c r="D242" s="116"/>
      <c r="E242" s="116"/>
      <c r="F242" s="116"/>
      <c r="G242" s="116"/>
      <c r="H242" s="116">
        <v>15.600636</v>
      </c>
      <c r="I242" s="116">
        <v>0.1008</v>
      </c>
      <c r="J242" s="116"/>
      <c r="K242" s="116"/>
      <c r="L242" s="116"/>
      <c r="M242" s="116"/>
      <c r="N242" s="116"/>
      <c r="O242" s="116"/>
      <c r="P242" s="71"/>
    </row>
    <row r="243" ht="16.5" hidden="1" spans="1:16">
      <c r="A243" s="115" t="s">
        <v>924</v>
      </c>
      <c r="B243" s="90" t="s">
        <v>925</v>
      </c>
      <c r="C243" s="110">
        <f t="shared" si="19"/>
        <v>42.728011</v>
      </c>
      <c r="D243" s="116"/>
      <c r="E243" s="116"/>
      <c r="F243" s="116"/>
      <c r="G243" s="116"/>
      <c r="H243" s="116">
        <v>39.512911</v>
      </c>
      <c r="I243" s="116">
        <v>0.2016</v>
      </c>
      <c r="J243" s="116"/>
      <c r="K243" s="116">
        <v>3.0135</v>
      </c>
      <c r="L243" s="116"/>
      <c r="M243" s="116"/>
      <c r="N243" s="116"/>
      <c r="O243" s="116"/>
      <c r="P243" s="71"/>
    </row>
    <row r="244" ht="16.5" hidden="1" spans="1:16">
      <c r="A244" s="115" t="s">
        <v>926</v>
      </c>
      <c r="B244" s="90" t="s">
        <v>927</v>
      </c>
      <c r="C244" s="110">
        <f t="shared" si="19"/>
        <v>34.160866</v>
      </c>
      <c r="D244" s="116"/>
      <c r="E244" s="116"/>
      <c r="F244" s="116"/>
      <c r="G244" s="116"/>
      <c r="H244" s="116">
        <v>33.959266</v>
      </c>
      <c r="I244" s="116">
        <v>0.2016</v>
      </c>
      <c r="J244" s="116"/>
      <c r="K244" s="116"/>
      <c r="L244" s="116"/>
      <c r="M244" s="116"/>
      <c r="N244" s="116"/>
      <c r="O244" s="116"/>
      <c r="P244" s="71"/>
    </row>
    <row r="245" ht="16.5" hidden="1" spans="1:16">
      <c r="A245" s="115" t="s">
        <v>929</v>
      </c>
      <c r="B245" s="90" t="s">
        <v>2242</v>
      </c>
      <c r="C245" s="110">
        <f t="shared" si="19"/>
        <v>2552.72929</v>
      </c>
      <c r="D245" s="116">
        <v>616.340427</v>
      </c>
      <c r="E245" s="116">
        <v>601.798663</v>
      </c>
      <c r="F245" s="116">
        <v>673.558</v>
      </c>
      <c r="G245" s="116"/>
      <c r="H245" s="116"/>
      <c r="I245" s="116"/>
      <c r="J245" s="116"/>
      <c r="K245" s="116">
        <v>661.0322</v>
      </c>
      <c r="L245" s="116"/>
      <c r="M245" s="116"/>
      <c r="N245" s="116"/>
      <c r="O245" s="116"/>
      <c r="P245" s="71"/>
    </row>
    <row r="246" ht="16.5" hidden="1" spans="1:16">
      <c r="A246" s="115" t="s">
        <v>931</v>
      </c>
      <c r="B246" s="90" t="s">
        <v>932</v>
      </c>
      <c r="C246" s="110">
        <f t="shared" si="19"/>
        <v>265.587554</v>
      </c>
      <c r="D246" s="116"/>
      <c r="E246" s="116"/>
      <c r="F246" s="116"/>
      <c r="G246" s="116"/>
      <c r="H246" s="116">
        <v>248.195654</v>
      </c>
      <c r="I246" s="116">
        <v>1.3104</v>
      </c>
      <c r="J246" s="116"/>
      <c r="K246" s="116">
        <v>16.0815</v>
      </c>
      <c r="L246" s="116"/>
      <c r="M246" s="116"/>
      <c r="N246" s="116"/>
      <c r="O246" s="116"/>
      <c r="P246" s="71"/>
    </row>
    <row r="247" ht="16.5" hidden="1" spans="1:16">
      <c r="A247" s="115" t="s">
        <v>933</v>
      </c>
      <c r="B247" s="90" t="s">
        <v>934</v>
      </c>
      <c r="C247" s="110">
        <f t="shared" si="19"/>
        <v>16.522664</v>
      </c>
      <c r="D247" s="116"/>
      <c r="E247" s="116"/>
      <c r="F247" s="116"/>
      <c r="G247" s="116"/>
      <c r="H247" s="116">
        <v>16.421864</v>
      </c>
      <c r="I247" s="116">
        <v>0.1008</v>
      </c>
      <c r="J247" s="116"/>
      <c r="K247" s="116"/>
      <c r="L247" s="116"/>
      <c r="M247" s="116"/>
      <c r="N247" s="116"/>
      <c r="O247" s="116"/>
      <c r="P247" s="71"/>
    </row>
    <row r="248" ht="16.5" hidden="1" spans="1:16">
      <c r="A248" s="115" t="s">
        <v>935</v>
      </c>
      <c r="B248" s="90" t="s">
        <v>936</v>
      </c>
      <c r="C248" s="110">
        <f t="shared" si="19"/>
        <v>45.942844</v>
      </c>
      <c r="D248" s="116"/>
      <c r="E248" s="116"/>
      <c r="F248" s="116"/>
      <c r="G248" s="116"/>
      <c r="H248" s="116">
        <v>35.727744</v>
      </c>
      <c r="I248" s="116">
        <v>0.2016</v>
      </c>
      <c r="J248" s="116"/>
      <c r="K248" s="116">
        <v>10.0135</v>
      </c>
      <c r="L248" s="116"/>
      <c r="M248" s="116"/>
      <c r="N248" s="116"/>
      <c r="O248" s="116"/>
      <c r="P248" s="71"/>
    </row>
    <row r="249" ht="16.5" hidden="1" spans="1:16">
      <c r="A249" s="115" t="s">
        <v>937</v>
      </c>
      <c r="B249" s="90" t="s">
        <v>938</v>
      </c>
      <c r="C249" s="110">
        <f t="shared" si="19"/>
        <v>33.913086</v>
      </c>
      <c r="D249" s="116"/>
      <c r="E249" s="116"/>
      <c r="F249" s="116"/>
      <c r="G249" s="116"/>
      <c r="H249" s="116">
        <v>33.711486</v>
      </c>
      <c r="I249" s="116">
        <v>0.2016</v>
      </c>
      <c r="J249" s="116"/>
      <c r="K249" s="116"/>
      <c r="L249" s="116"/>
      <c r="M249" s="116"/>
      <c r="N249" s="116"/>
      <c r="O249" s="116"/>
      <c r="P249" s="71"/>
    </row>
    <row r="250" ht="16.5" hidden="1" spans="1:16">
      <c r="A250" s="115" t="s">
        <v>940</v>
      </c>
      <c r="B250" s="90" t="s">
        <v>2243</v>
      </c>
      <c r="C250" s="110">
        <f t="shared" si="19"/>
        <v>6345.429116</v>
      </c>
      <c r="D250" s="116">
        <v>930.610945</v>
      </c>
      <c r="E250" s="116">
        <v>3489.412231</v>
      </c>
      <c r="F250" s="116">
        <v>1678</v>
      </c>
      <c r="G250" s="116"/>
      <c r="H250" s="116"/>
      <c r="I250" s="116"/>
      <c r="J250" s="116"/>
      <c r="K250" s="116">
        <v>247.40594</v>
      </c>
      <c r="L250" s="116"/>
      <c r="M250" s="116"/>
      <c r="N250" s="116"/>
      <c r="O250" s="116"/>
      <c r="P250" s="71"/>
    </row>
    <row r="251" ht="16.5" hidden="1" spans="1:16">
      <c r="A251" s="115" t="s">
        <v>942</v>
      </c>
      <c r="B251" s="90" t="s">
        <v>943</v>
      </c>
      <c r="C251" s="110">
        <f t="shared" si="19"/>
        <v>242.345846</v>
      </c>
      <c r="D251" s="116"/>
      <c r="E251" s="116"/>
      <c r="F251" s="116"/>
      <c r="G251" s="116"/>
      <c r="H251" s="116">
        <v>219.223346</v>
      </c>
      <c r="I251" s="116"/>
      <c r="J251" s="116"/>
      <c r="K251" s="116">
        <v>23.1225</v>
      </c>
      <c r="L251" s="116"/>
      <c r="M251" s="116"/>
      <c r="N251" s="116"/>
      <c r="O251" s="116"/>
      <c r="P251" s="71"/>
    </row>
    <row r="252" ht="16.5" hidden="1" spans="1:16">
      <c r="A252" s="115" t="s">
        <v>944</v>
      </c>
      <c r="B252" s="90" t="s">
        <v>945</v>
      </c>
      <c r="C252" s="110">
        <f t="shared" si="19"/>
        <v>321.972379</v>
      </c>
      <c r="D252" s="116"/>
      <c r="E252" s="116"/>
      <c r="F252" s="116"/>
      <c r="G252" s="116"/>
      <c r="H252" s="116">
        <v>318.958879</v>
      </c>
      <c r="I252" s="116"/>
      <c r="J252" s="116"/>
      <c r="K252" s="116">
        <v>3.0135</v>
      </c>
      <c r="L252" s="116"/>
      <c r="M252" s="116"/>
      <c r="N252" s="116"/>
      <c r="O252" s="116"/>
      <c r="P252" s="71"/>
    </row>
    <row r="253" ht="16.5" hidden="1" spans="1:16">
      <c r="A253" s="115" t="s">
        <v>946</v>
      </c>
      <c r="B253" s="90" t="s">
        <v>947</v>
      </c>
      <c r="C253" s="110">
        <f t="shared" si="19"/>
        <v>481.069268</v>
      </c>
      <c r="D253" s="116"/>
      <c r="E253" s="116"/>
      <c r="F253" s="116"/>
      <c r="G253" s="116"/>
      <c r="H253" s="116">
        <v>475.042268</v>
      </c>
      <c r="I253" s="116"/>
      <c r="J253" s="116"/>
      <c r="K253" s="116">
        <v>6.027</v>
      </c>
      <c r="L253" s="116"/>
      <c r="M253" s="116"/>
      <c r="N253" s="116"/>
      <c r="O253" s="116"/>
      <c r="P253" s="71"/>
    </row>
    <row r="254" ht="16.5" hidden="1" spans="1:16">
      <c r="A254" s="115" t="s">
        <v>948</v>
      </c>
      <c r="B254" s="90" t="s">
        <v>949</v>
      </c>
      <c r="C254" s="110">
        <f t="shared" si="19"/>
        <v>99.524182</v>
      </c>
      <c r="D254" s="116"/>
      <c r="E254" s="116"/>
      <c r="F254" s="116"/>
      <c r="G254" s="116"/>
      <c r="H254" s="116">
        <v>99.524182</v>
      </c>
      <c r="I254" s="116"/>
      <c r="J254" s="116"/>
      <c r="K254" s="116"/>
      <c r="L254" s="116"/>
      <c r="M254" s="116"/>
      <c r="N254" s="116"/>
      <c r="O254" s="116"/>
      <c r="P254" s="71"/>
    </row>
    <row r="255" ht="16.5" hidden="1" spans="1:16">
      <c r="A255" s="115" t="s">
        <v>951</v>
      </c>
      <c r="B255" s="90" t="s">
        <v>2244</v>
      </c>
      <c r="C255" s="110">
        <f t="shared" ref="C255:C278" si="20">SUM(D255:O255)</f>
        <v>5921.635477</v>
      </c>
      <c r="D255" s="116">
        <v>700.703786</v>
      </c>
      <c r="E255" s="116">
        <v>2431.768511</v>
      </c>
      <c r="F255" s="116">
        <v>2680</v>
      </c>
      <c r="G255" s="116"/>
      <c r="H255" s="116"/>
      <c r="I255" s="116"/>
      <c r="J255" s="116"/>
      <c r="K255" s="116">
        <v>109.16318</v>
      </c>
      <c r="L255" s="116"/>
      <c r="M255" s="116"/>
      <c r="N255" s="116"/>
      <c r="O255" s="116"/>
      <c r="P255" s="71"/>
    </row>
    <row r="256" ht="16.5" hidden="1" spans="1:16">
      <c r="A256" s="115" t="s">
        <v>953</v>
      </c>
      <c r="B256" s="90" t="s">
        <v>954</v>
      </c>
      <c r="C256" s="110">
        <f t="shared" si="20"/>
        <v>292.96846</v>
      </c>
      <c r="D256" s="116"/>
      <c r="E256" s="116"/>
      <c r="F256" s="116"/>
      <c r="G256" s="116"/>
      <c r="H256" s="116">
        <v>271.87396</v>
      </c>
      <c r="I256" s="116"/>
      <c r="J256" s="116"/>
      <c r="K256" s="116">
        <v>21.0945</v>
      </c>
      <c r="L256" s="116"/>
      <c r="M256" s="116"/>
      <c r="N256" s="116"/>
      <c r="O256" s="116"/>
      <c r="P256" s="71"/>
    </row>
    <row r="257" ht="16.5" hidden="1" spans="1:16">
      <c r="A257" s="115" t="s">
        <v>955</v>
      </c>
      <c r="B257" s="90" t="s">
        <v>956</v>
      </c>
      <c r="C257" s="110">
        <f t="shared" si="20"/>
        <v>16.070302</v>
      </c>
      <c r="D257" s="116"/>
      <c r="E257" s="116"/>
      <c r="F257" s="116"/>
      <c r="G257" s="116"/>
      <c r="H257" s="116">
        <v>16.070302</v>
      </c>
      <c r="I257" s="116"/>
      <c r="J257" s="116"/>
      <c r="K257" s="116"/>
      <c r="L257" s="116"/>
      <c r="M257" s="116"/>
      <c r="N257" s="116"/>
      <c r="O257" s="116"/>
      <c r="P257" s="71"/>
    </row>
    <row r="258" ht="16.5" hidden="1" spans="1:16">
      <c r="A258" s="115" t="s">
        <v>957</v>
      </c>
      <c r="B258" s="90" t="s">
        <v>958</v>
      </c>
      <c r="C258" s="110">
        <f t="shared" si="20"/>
        <v>80.458092</v>
      </c>
      <c r="D258" s="116"/>
      <c r="E258" s="116"/>
      <c r="F258" s="116"/>
      <c r="G258" s="116"/>
      <c r="H258" s="116">
        <v>80.458092</v>
      </c>
      <c r="I258" s="116"/>
      <c r="J258" s="116"/>
      <c r="K258" s="116"/>
      <c r="L258" s="116"/>
      <c r="M258" s="116"/>
      <c r="N258" s="116"/>
      <c r="O258" s="116"/>
      <c r="P258" s="71"/>
    </row>
    <row r="259" ht="16.5" hidden="1" spans="1:16">
      <c r="A259" s="115" t="s">
        <v>959</v>
      </c>
      <c r="B259" s="90" t="s">
        <v>960</v>
      </c>
      <c r="C259" s="110">
        <f t="shared" si="20"/>
        <v>33.328979</v>
      </c>
      <c r="D259" s="116"/>
      <c r="E259" s="116"/>
      <c r="F259" s="116"/>
      <c r="G259" s="116"/>
      <c r="H259" s="116">
        <v>33.328979</v>
      </c>
      <c r="I259" s="116"/>
      <c r="J259" s="116"/>
      <c r="K259" s="116"/>
      <c r="L259" s="116"/>
      <c r="M259" s="116"/>
      <c r="N259" s="116"/>
      <c r="O259" s="116"/>
      <c r="P259" s="71"/>
    </row>
    <row r="260" ht="16.5" hidden="1" spans="1:16">
      <c r="A260" s="115" t="s">
        <v>962</v>
      </c>
      <c r="B260" s="90" t="s">
        <v>2245</v>
      </c>
      <c r="C260" s="110">
        <f t="shared" si="20"/>
        <v>5036.552738</v>
      </c>
      <c r="D260" s="116">
        <v>2220.979164</v>
      </c>
      <c r="E260" s="116">
        <v>2584.81229</v>
      </c>
      <c r="F260" s="116">
        <v>13.3</v>
      </c>
      <c r="G260" s="116"/>
      <c r="H260" s="116"/>
      <c r="I260" s="116"/>
      <c r="J260" s="116"/>
      <c r="K260" s="116">
        <v>217.461284</v>
      </c>
      <c r="L260" s="116"/>
      <c r="M260" s="116"/>
      <c r="N260" s="116"/>
      <c r="O260" s="116"/>
      <c r="P260" s="71"/>
    </row>
    <row r="261" ht="16.5" hidden="1" spans="1:16">
      <c r="A261" s="115" t="s">
        <v>964</v>
      </c>
      <c r="B261" s="90" t="s">
        <v>965</v>
      </c>
      <c r="C261" s="110">
        <f t="shared" si="20"/>
        <v>314.356454</v>
      </c>
      <c r="D261" s="116"/>
      <c r="E261" s="116"/>
      <c r="F261" s="116"/>
      <c r="G261" s="116"/>
      <c r="H261" s="116">
        <v>265.140454</v>
      </c>
      <c r="I261" s="116">
        <v>1</v>
      </c>
      <c r="J261" s="116"/>
      <c r="K261" s="116">
        <v>48.216</v>
      </c>
      <c r="L261" s="116"/>
      <c r="M261" s="116"/>
      <c r="N261" s="116"/>
      <c r="O261" s="116"/>
      <c r="P261" s="71"/>
    </row>
    <row r="262" ht="16.5" hidden="1" spans="1:16">
      <c r="A262" s="115" t="s">
        <v>966</v>
      </c>
      <c r="B262" s="90" t="s">
        <v>967</v>
      </c>
      <c r="C262" s="110">
        <f t="shared" si="20"/>
        <v>357.959782</v>
      </c>
      <c r="D262" s="116"/>
      <c r="E262" s="116"/>
      <c r="F262" s="116"/>
      <c r="G262" s="116"/>
      <c r="H262" s="116">
        <v>356.681778</v>
      </c>
      <c r="I262" s="116">
        <v>1</v>
      </c>
      <c r="J262" s="116"/>
      <c r="K262" s="116">
        <v>0.278004</v>
      </c>
      <c r="L262" s="116"/>
      <c r="M262" s="116"/>
      <c r="N262" s="116"/>
      <c r="O262" s="116"/>
      <c r="P262" s="71"/>
    </row>
    <row r="263" ht="16.5" hidden="1" spans="1:16">
      <c r="A263" s="115" t="s">
        <v>968</v>
      </c>
      <c r="B263" s="90" t="s">
        <v>969</v>
      </c>
      <c r="C263" s="110">
        <f t="shared" si="20"/>
        <v>456.60183</v>
      </c>
      <c r="D263" s="116"/>
      <c r="E263" s="116"/>
      <c r="F263" s="116"/>
      <c r="G263" s="116"/>
      <c r="H263" s="116">
        <v>453.22833</v>
      </c>
      <c r="I263" s="116">
        <v>0.36</v>
      </c>
      <c r="J263" s="116"/>
      <c r="K263" s="116">
        <v>3.0135</v>
      </c>
      <c r="L263" s="116"/>
      <c r="M263" s="116"/>
      <c r="N263" s="116"/>
      <c r="O263" s="116"/>
      <c r="P263" s="71"/>
    </row>
    <row r="264" ht="16.5" hidden="1" spans="1:16">
      <c r="A264" s="115" t="s">
        <v>970</v>
      </c>
      <c r="B264" s="90" t="s">
        <v>971</v>
      </c>
      <c r="C264" s="110">
        <f t="shared" si="20"/>
        <v>47.926558</v>
      </c>
      <c r="D264" s="116"/>
      <c r="E264" s="116"/>
      <c r="F264" s="116"/>
      <c r="G264" s="116"/>
      <c r="H264" s="116">
        <v>47.426558</v>
      </c>
      <c r="I264" s="116">
        <v>0.5</v>
      </c>
      <c r="J264" s="116"/>
      <c r="K264" s="116"/>
      <c r="L264" s="116"/>
      <c r="M264" s="116"/>
      <c r="N264" s="116"/>
      <c r="O264" s="116"/>
      <c r="P264" s="71"/>
    </row>
    <row r="265" ht="16.5" hidden="1" spans="1:16">
      <c r="A265" s="115" t="s">
        <v>973</v>
      </c>
      <c r="B265" s="90" t="s">
        <v>974</v>
      </c>
      <c r="C265" s="110">
        <f t="shared" si="20"/>
        <v>284.028893</v>
      </c>
      <c r="D265" s="116"/>
      <c r="E265" s="116"/>
      <c r="F265" s="116"/>
      <c r="G265" s="116"/>
      <c r="H265" s="116">
        <v>268.961393</v>
      </c>
      <c r="I265" s="116"/>
      <c r="J265" s="116"/>
      <c r="K265" s="116">
        <v>15.0675</v>
      </c>
      <c r="L265" s="116"/>
      <c r="M265" s="116"/>
      <c r="N265" s="116"/>
      <c r="O265" s="116"/>
      <c r="P265" s="71"/>
    </row>
    <row r="266" ht="16.5" hidden="1" spans="1:16">
      <c r="A266" s="115" t="s">
        <v>975</v>
      </c>
      <c r="B266" s="90" t="s">
        <v>2246</v>
      </c>
      <c r="C266" s="110">
        <f t="shared" si="20"/>
        <v>1774.399269</v>
      </c>
      <c r="D266" s="116">
        <v>266.574311</v>
      </c>
      <c r="E266" s="116">
        <v>1468.115638</v>
      </c>
      <c r="F266" s="116"/>
      <c r="G266" s="116"/>
      <c r="H266" s="116"/>
      <c r="I266" s="116"/>
      <c r="J266" s="116"/>
      <c r="K266" s="116">
        <v>39.70932</v>
      </c>
      <c r="L266" s="116"/>
      <c r="M266" s="116"/>
      <c r="N266" s="116"/>
      <c r="O266" s="116"/>
      <c r="P266" s="71"/>
    </row>
    <row r="267" ht="16.5" hidden="1" spans="1:16">
      <c r="A267" s="115" t="s">
        <v>977</v>
      </c>
      <c r="B267" s="90" t="s">
        <v>978</v>
      </c>
      <c r="C267" s="110">
        <f t="shared" si="20"/>
        <v>182.280055</v>
      </c>
      <c r="D267" s="116"/>
      <c r="E267" s="116"/>
      <c r="F267" s="116"/>
      <c r="G267" s="116"/>
      <c r="H267" s="116">
        <v>182.280055</v>
      </c>
      <c r="I267" s="116"/>
      <c r="J267" s="116"/>
      <c r="K267" s="116"/>
      <c r="L267" s="116"/>
      <c r="M267" s="116"/>
      <c r="N267" s="116"/>
      <c r="O267" s="116"/>
      <c r="P267" s="71"/>
    </row>
    <row r="268" ht="16.5" hidden="1" spans="1:16">
      <c r="A268" s="115" t="s">
        <v>979</v>
      </c>
      <c r="B268" s="90" t="s">
        <v>980</v>
      </c>
      <c r="C268" s="110">
        <f t="shared" si="20"/>
        <v>373.883479</v>
      </c>
      <c r="D268" s="116"/>
      <c r="E268" s="116"/>
      <c r="F268" s="116"/>
      <c r="G268" s="116"/>
      <c r="H268" s="116">
        <v>373.883479</v>
      </c>
      <c r="I268" s="116"/>
      <c r="J268" s="116"/>
      <c r="K268" s="116"/>
      <c r="L268" s="116"/>
      <c r="M268" s="116"/>
      <c r="N268" s="116"/>
      <c r="O268" s="116"/>
      <c r="P268" s="71"/>
    </row>
    <row r="269" ht="16.5" hidden="1" spans="1:16">
      <c r="A269" s="115" t="s">
        <v>981</v>
      </c>
      <c r="B269" s="90" t="s">
        <v>982</v>
      </c>
      <c r="C269" s="110">
        <f t="shared" si="20"/>
        <v>62.217708</v>
      </c>
      <c r="D269" s="116"/>
      <c r="E269" s="116"/>
      <c r="F269" s="116"/>
      <c r="G269" s="116"/>
      <c r="H269" s="116">
        <v>62.217708</v>
      </c>
      <c r="I269" s="116"/>
      <c r="J269" s="116"/>
      <c r="K269" s="116"/>
      <c r="L269" s="116"/>
      <c r="M269" s="116"/>
      <c r="N269" s="116"/>
      <c r="O269" s="116"/>
      <c r="P269" s="71"/>
    </row>
    <row r="270" ht="16.5" hidden="1" spans="1:16">
      <c r="A270" s="115" t="s">
        <v>984</v>
      </c>
      <c r="B270" s="90" t="s">
        <v>985</v>
      </c>
      <c r="C270" s="110">
        <f t="shared" si="20"/>
        <v>1275.087284</v>
      </c>
      <c r="D270" s="116">
        <v>357.911528</v>
      </c>
      <c r="E270" s="116">
        <v>225.206356</v>
      </c>
      <c r="F270" s="116">
        <v>402.3184</v>
      </c>
      <c r="G270" s="116"/>
      <c r="H270" s="116">
        <v>45.624</v>
      </c>
      <c r="I270" s="116"/>
      <c r="J270" s="116">
        <v>238</v>
      </c>
      <c r="K270" s="116">
        <v>6.027</v>
      </c>
      <c r="L270" s="116"/>
      <c r="M270" s="116"/>
      <c r="N270" s="116"/>
      <c r="O270" s="116"/>
      <c r="P270" s="71"/>
    </row>
    <row r="271" ht="16.5" hidden="1" spans="1:16">
      <c r="A271" s="115" t="s">
        <v>986</v>
      </c>
      <c r="B271" s="90" t="s">
        <v>987</v>
      </c>
      <c r="C271" s="110">
        <f t="shared" si="20"/>
        <v>144.976006</v>
      </c>
      <c r="D271" s="116"/>
      <c r="E271" s="116"/>
      <c r="F271" s="116"/>
      <c r="G271" s="116"/>
      <c r="H271" s="116">
        <v>141.262506</v>
      </c>
      <c r="I271" s="116">
        <v>0.7</v>
      </c>
      <c r="J271" s="116"/>
      <c r="K271" s="116">
        <v>3.0135</v>
      </c>
      <c r="L271" s="116"/>
      <c r="M271" s="116"/>
      <c r="N271" s="116"/>
      <c r="O271" s="116"/>
      <c r="P271" s="71"/>
    </row>
    <row r="272" ht="16.5" hidden="1" spans="1:16">
      <c r="A272" s="115" t="s">
        <v>988</v>
      </c>
      <c r="B272" s="90" t="s">
        <v>989</v>
      </c>
      <c r="C272" s="110">
        <f t="shared" si="20"/>
        <v>19.835076</v>
      </c>
      <c r="D272" s="116"/>
      <c r="E272" s="116"/>
      <c r="F272" s="116"/>
      <c r="G272" s="116"/>
      <c r="H272" s="116">
        <v>19.785076</v>
      </c>
      <c r="I272" s="116">
        <v>0.05</v>
      </c>
      <c r="J272" s="116"/>
      <c r="K272" s="116"/>
      <c r="L272" s="116"/>
      <c r="M272" s="116"/>
      <c r="N272" s="116"/>
      <c r="O272" s="116"/>
      <c r="P272" s="71"/>
    </row>
    <row r="273" ht="16.5" hidden="1" spans="1:16">
      <c r="A273" s="115" t="s">
        <v>990</v>
      </c>
      <c r="B273" s="90" t="s">
        <v>991</v>
      </c>
      <c r="C273" s="110">
        <f t="shared" si="20"/>
        <v>15.568807</v>
      </c>
      <c r="D273" s="116"/>
      <c r="E273" s="116"/>
      <c r="F273" s="116"/>
      <c r="G273" s="116"/>
      <c r="H273" s="116">
        <v>15.468807</v>
      </c>
      <c r="I273" s="116">
        <v>0.1</v>
      </c>
      <c r="J273" s="116"/>
      <c r="K273" s="116"/>
      <c r="L273" s="116"/>
      <c r="M273" s="116"/>
      <c r="N273" s="116"/>
      <c r="O273" s="116"/>
      <c r="P273" s="71"/>
    </row>
    <row r="274" ht="16.5" hidden="1" spans="1:16">
      <c r="A274" s="115" t="s">
        <v>992</v>
      </c>
      <c r="B274" s="90" t="s">
        <v>993</v>
      </c>
      <c r="C274" s="110">
        <f t="shared" si="20"/>
        <v>16.898858</v>
      </c>
      <c r="D274" s="116"/>
      <c r="E274" s="116"/>
      <c r="F274" s="116"/>
      <c r="G274" s="116"/>
      <c r="H274" s="116">
        <v>16.848858</v>
      </c>
      <c r="I274" s="116">
        <v>0.05</v>
      </c>
      <c r="J274" s="116"/>
      <c r="K274" s="116"/>
      <c r="L274" s="116"/>
      <c r="M274" s="116"/>
      <c r="N274" s="116"/>
      <c r="O274" s="116"/>
      <c r="P274" s="71"/>
    </row>
    <row r="275" ht="16.5" hidden="1" spans="1:16">
      <c r="A275" s="115" t="s">
        <v>995</v>
      </c>
      <c r="B275" s="90" t="s">
        <v>1162</v>
      </c>
      <c r="C275" s="110">
        <f t="shared" si="20"/>
        <v>33427.497484</v>
      </c>
      <c r="D275" s="116">
        <v>643.38498</v>
      </c>
      <c r="E275" s="116">
        <v>15947.413474</v>
      </c>
      <c r="F275" s="116">
        <v>7659.88</v>
      </c>
      <c r="G275" s="116"/>
      <c r="H275" s="116"/>
      <c r="I275" s="116"/>
      <c r="J275" s="116">
        <v>9099.5</v>
      </c>
      <c r="K275" s="116">
        <v>77.31903</v>
      </c>
      <c r="L275" s="116"/>
      <c r="M275" s="116"/>
      <c r="N275" s="116"/>
      <c r="O275" s="116"/>
      <c r="P275" s="71"/>
    </row>
    <row r="276" ht="16.5" hidden="1" spans="1:16">
      <c r="A276" s="115" t="s">
        <v>997</v>
      </c>
      <c r="B276" s="90" t="s">
        <v>998</v>
      </c>
      <c r="C276" s="110">
        <f t="shared" si="20"/>
        <v>438.053282</v>
      </c>
      <c r="D276" s="116"/>
      <c r="E276" s="116"/>
      <c r="F276" s="116"/>
      <c r="G276" s="116"/>
      <c r="H276" s="116">
        <v>424.012782</v>
      </c>
      <c r="I276" s="116">
        <v>5</v>
      </c>
      <c r="J276" s="116"/>
      <c r="K276" s="116">
        <v>9.0405</v>
      </c>
      <c r="L276" s="116"/>
      <c r="M276" s="116"/>
      <c r="N276" s="116"/>
      <c r="O276" s="116"/>
      <c r="P276" s="71"/>
    </row>
    <row r="277" ht="16.5" hidden="1" spans="1:15">
      <c r="A277" s="115" t="s">
        <v>999</v>
      </c>
      <c r="B277" s="90" t="s">
        <v>1000</v>
      </c>
      <c r="C277" s="110">
        <f t="shared" si="20"/>
        <v>160.700974</v>
      </c>
      <c r="D277" s="116"/>
      <c r="E277" s="116"/>
      <c r="F277" s="116"/>
      <c r="G277" s="116"/>
      <c r="H277" s="116">
        <v>158.700974</v>
      </c>
      <c r="I277" s="116">
        <v>2</v>
      </c>
      <c r="J277" s="116"/>
      <c r="K277" s="116"/>
      <c r="L277" s="116"/>
      <c r="M277" s="116"/>
      <c r="N277" s="116"/>
      <c r="O277" s="116"/>
    </row>
    <row r="278" ht="16.5" hidden="1" spans="1:16">
      <c r="A278" s="115" t="s">
        <v>1001</v>
      </c>
      <c r="B278" s="90" t="s">
        <v>1002</v>
      </c>
      <c r="C278" s="110">
        <f t="shared" si="20"/>
        <v>376.780947</v>
      </c>
      <c r="D278" s="116"/>
      <c r="E278" s="116"/>
      <c r="F278" s="116"/>
      <c r="G278" s="116"/>
      <c r="H278" s="116">
        <v>373.780947</v>
      </c>
      <c r="I278" s="116">
        <v>3</v>
      </c>
      <c r="J278" s="116"/>
      <c r="K278" s="116"/>
      <c r="L278" s="116"/>
      <c r="M278" s="116"/>
      <c r="N278" s="116"/>
      <c r="O278" s="116"/>
      <c r="P278" s="71"/>
    </row>
    <row r="279" ht="17" customHeight="1" spans="1:16">
      <c r="A279" s="81"/>
      <c r="B279" s="105" t="s">
        <v>1003</v>
      </c>
      <c r="C279" s="102">
        <f t="shared" ref="C279:O279" si="21">SUM(C280:C292)</f>
        <v>156718.64</v>
      </c>
      <c r="D279" s="102">
        <f t="shared" si="21"/>
        <v>20780</v>
      </c>
      <c r="E279" s="102">
        <f t="shared" si="21"/>
        <v>45606.64</v>
      </c>
      <c r="F279" s="102">
        <f t="shared" si="21"/>
        <v>7506</v>
      </c>
      <c r="G279" s="102">
        <f t="shared" si="21"/>
        <v>0</v>
      </c>
      <c r="H279" s="102">
        <f t="shared" si="21"/>
        <v>4306</v>
      </c>
      <c r="I279" s="102">
        <f t="shared" si="21"/>
        <v>0</v>
      </c>
      <c r="J279" s="102">
        <f t="shared" si="21"/>
        <v>30700</v>
      </c>
      <c r="K279" s="102">
        <f t="shared" si="21"/>
        <v>7970</v>
      </c>
      <c r="L279" s="102">
        <f t="shared" si="21"/>
        <v>20749</v>
      </c>
      <c r="M279" s="102">
        <f t="shared" si="21"/>
        <v>18271</v>
      </c>
      <c r="N279" s="102">
        <f t="shared" si="21"/>
        <v>0</v>
      </c>
      <c r="O279" s="102">
        <f t="shared" si="21"/>
        <v>830</v>
      </c>
      <c r="P279" s="68" t="s">
        <v>578</v>
      </c>
    </row>
    <row r="280" ht="16.5" hidden="1" spans="1:16">
      <c r="A280" s="95" t="s">
        <v>2247</v>
      </c>
      <c r="B280" s="96" t="s">
        <v>1011</v>
      </c>
      <c r="C280" s="118">
        <f t="shared" ref="C280:C294" si="22">SUM(D280:O280)</f>
        <v>37530</v>
      </c>
      <c r="D280" s="116">
        <f>11518-1518</f>
        <v>10000</v>
      </c>
      <c r="E280" s="116">
        <f>86618-38958-22660</f>
        <v>25000</v>
      </c>
      <c r="F280" s="116">
        <f>23742-19928-3614</f>
        <v>200</v>
      </c>
      <c r="G280" s="116"/>
      <c r="H280" s="116">
        <f>4405-4405</f>
        <v>0</v>
      </c>
      <c r="I280" s="116">
        <f>7855-7855</f>
        <v>0</v>
      </c>
      <c r="J280" s="116">
        <f>9931-2026-7905</f>
        <v>0</v>
      </c>
      <c r="K280" s="116">
        <f>20165-3433-15232</f>
        <v>1500</v>
      </c>
      <c r="L280" s="116">
        <f>16225-16225</f>
        <v>0</v>
      </c>
      <c r="M280" s="116"/>
      <c r="N280" s="116"/>
      <c r="O280" s="116">
        <v>830</v>
      </c>
      <c r="P280" s="71"/>
    </row>
    <row r="281" ht="16.5" hidden="1" spans="1:16">
      <c r="A281" s="95" t="s">
        <v>2248</v>
      </c>
      <c r="B281" s="96" t="s">
        <v>1012</v>
      </c>
      <c r="C281" s="118">
        <f t="shared" si="22"/>
        <v>250</v>
      </c>
      <c r="D281" s="116">
        <v>180</v>
      </c>
      <c r="E281" s="116">
        <v>70</v>
      </c>
      <c r="F281" s="116"/>
      <c r="G281" s="116"/>
      <c r="H281" s="116"/>
      <c r="I281" s="116"/>
      <c r="J281" s="116"/>
      <c r="K281" s="116"/>
      <c r="L281" s="116"/>
      <c r="M281" s="116"/>
      <c r="N281" s="116"/>
      <c r="O281" s="116"/>
      <c r="P281" s="71"/>
    </row>
    <row r="282" ht="16.5" hidden="1" spans="1:16">
      <c r="A282" s="95" t="s">
        <v>2249</v>
      </c>
      <c r="B282" s="96" t="s">
        <v>1007</v>
      </c>
      <c r="C282" s="118">
        <f t="shared" si="22"/>
        <v>25250</v>
      </c>
      <c r="D282" s="116"/>
      <c r="E282" s="116">
        <f>2953-2653</f>
        <v>300</v>
      </c>
      <c r="F282" s="116">
        <v>3650</v>
      </c>
      <c r="G282" s="116"/>
      <c r="H282" s="116"/>
      <c r="I282" s="116"/>
      <c r="J282" s="116">
        <v>15800</v>
      </c>
      <c r="K282" s="116">
        <v>5500</v>
      </c>
      <c r="L282" s="116"/>
      <c r="M282" s="116"/>
      <c r="N282" s="116"/>
      <c r="O282" s="116"/>
      <c r="P282" s="71"/>
    </row>
    <row r="283" ht="16.5" hidden="1" spans="1:16">
      <c r="A283" s="95" t="s">
        <v>2250</v>
      </c>
      <c r="B283" s="96" t="s">
        <v>1004</v>
      </c>
      <c r="C283" s="118">
        <f t="shared" si="22"/>
        <v>2751</v>
      </c>
      <c r="D283" s="116"/>
      <c r="E283" s="116">
        <v>2751</v>
      </c>
      <c r="F283" s="116"/>
      <c r="G283" s="116"/>
      <c r="H283" s="116"/>
      <c r="I283" s="116"/>
      <c r="J283" s="116"/>
      <c r="K283" s="116"/>
      <c r="L283" s="116"/>
      <c r="M283" s="116"/>
      <c r="N283" s="116"/>
      <c r="O283" s="116"/>
      <c r="P283" s="71"/>
    </row>
    <row r="284" ht="16.5" hidden="1" spans="1:16">
      <c r="A284" s="95" t="s">
        <v>2251</v>
      </c>
      <c r="B284" s="96" t="s">
        <v>1010</v>
      </c>
      <c r="C284" s="118">
        <f t="shared" si="22"/>
        <v>1290.2</v>
      </c>
      <c r="D284" s="116"/>
      <c r="E284" s="116">
        <v>1290.2</v>
      </c>
      <c r="F284" s="116"/>
      <c r="G284" s="116"/>
      <c r="H284" s="116"/>
      <c r="I284" s="116"/>
      <c r="J284" s="116"/>
      <c r="K284" s="116"/>
      <c r="L284" s="116"/>
      <c r="M284" s="116"/>
      <c r="N284" s="116"/>
      <c r="O284" s="116"/>
      <c r="P284" s="71"/>
    </row>
    <row r="285" ht="16.5" hidden="1" spans="1:16">
      <c r="A285" s="95" t="s">
        <v>2252</v>
      </c>
      <c r="B285" s="96" t="s">
        <v>1006</v>
      </c>
      <c r="C285" s="118">
        <f t="shared" si="22"/>
        <v>36324</v>
      </c>
      <c r="D285" s="116">
        <v>10600</v>
      </c>
      <c r="E285" s="116">
        <v>20</v>
      </c>
      <c r="F285" s="116"/>
      <c r="G285" s="116"/>
      <c r="H285" s="116">
        <v>4105</v>
      </c>
      <c r="I285" s="116"/>
      <c r="J285" s="116"/>
      <c r="K285" s="116">
        <v>850</v>
      </c>
      <c r="L285" s="116">
        <v>20749</v>
      </c>
      <c r="M285" s="116"/>
      <c r="N285" s="116"/>
      <c r="O285" s="116"/>
      <c r="P285" s="71"/>
    </row>
    <row r="286" ht="16.5" hidden="1" spans="1:16">
      <c r="A286" s="95" t="s">
        <v>2253</v>
      </c>
      <c r="B286" s="96" t="s">
        <v>1005</v>
      </c>
      <c r="C286" s="118">
        <f t="shared" si="22"/>
        <v>15000</v>
      </c>
      <c r="D286" s="116"/>
      <c r="E286" s="116">
        <v>15000</v>
      </c>
      <c r="F286" s="116"/>
      <c r="G286" s="116"/>
      <c r="H286" s="116"/>
      <c r="I286" s="116"/>
      <c r="J286" s="116"/>
      <c r="K286" s="116"/>
      <c r="L286" s="116"/>
      <c r="M286" s="116"/>
      <c r="N286" s="116"/>
      <c r="O286" s="116"/>
      <c r="P286" s="71"/>
    </row>
    <row r="287" ht="16.5" hidden="1" spans="1:16">
      <c r="A287" s="95" t="s">
        <v>2254</v>
      </c>
      <c r="B287" s="96" t="s">
        <v>1009</v>
      </c>
      <c r="C287" s="118">
        <f t="shared" si="22"/>
        <v>16773</v>
      </c>
      <c r="D287" s="116"/>
      <c r="E287" s="116">
        <v>950</v>
      </c>
      <c r="F287" s="116"/>
      <c r="G287" s="116"/>
      <c r="H287" s="116"/>
      <c r="I287" s="116"/>
      <c r="J287" s="116">
        <v>14900</v>
      </c>
      <c r="K287" s="116"/>
      <c r="L287" s="116"/>
      <c r="M287" s="116">
        <v>923</v>
      </c>
      <c r="N287" s="116"/>
      <c r="O287" s="116"/>
      <c r="P287" s="71"/>
    </row>
    <row r="288" ht="16.5" hidden="1" spans="1:16">
      <c r="A288" s="95" t="s">
        <v>2255</v>
      </c>
      <c r="B288" s="96" t="s">
        <v>1008</v>
      </c>
      <c r="C288" s="118">
        <f t="shared" si="22"/>
        <v>225.44</v>
      </c>
      <c r="D288" s="116"/>
      <c r="E288" s="116">
        <v>225.44</v>
      </c>
      <c r="F288" s="116"/>
      <c r="G288" s="116"/>
      <c r="H288" s="116"/>
      <c r="I288" s="116"/>
      <c r="J288" s="116"/>
      <c r="K288" s="116"/>
      <c r="L288" s="116"/>
      <c r="M288" s="116"/>
      <c r="N288" s="116"/>
      <c r="O288" s="116"/>
      <c r="P288" s="71"/>
    </row>
    <row r="289" ht="16.5" hidden="1" spans="1:16">
      <c r="A289" s="95" t="s">
        <v>2256</v>
      </c>
      <c r="B289" s="96" t="s">
        <v>1013</v>
      </c>
      <c r="C289" s="118">
        <f t="shared" si="22"/>
        <v>120</v>
      </c>
      <c r="D289" s="116"/>
      <c r="E289" s="116"/>
      <c r="F289" s="116"/>
      <c r="G289" s="116"/>
      <c r="H289" s="116"/>
      <c r="I289" s="116"/>
      <c r="J289" s="116"/>
      <c r="K289" s="116">
        <v>120</v>
      </c>
      <c r="L289" s="116"/>
      <c r="M289" s="116"/>
      <c r="N289" s="116"/>
      <c r="O289" s="120"/>
      <c r="P289" s="71"/>
    </row>
    <row r="290" ht="16.5" hidden="1" spans="1:16">
      <c r="A290" s="95" t="s">
        <v>2257</v>
      </c>
      <c r="B290" s="96" t="s">
        <v>1014</v>
      </c>
      <c r="C290" s="118">
        <f t="shared" si="22"/>
        <v>3656</v>
      </c>
      <c r="D290" s="119"/>
      <c r="E290" s="116"/>
      <c r="F290" s="116">
        <v>3656</v>
      </c>
      <c r="G290" s="116"/>
      <c r="H290" s="116"/>
      <c r="I290" s="116"/>
      <c r="J290" s="116"/>
      <c r="K290" s="116"/>
      <c r="L290" s="116"/>
      <c r="M290" s="116"/>
      <c r="N290" s="121"/>
      <c r="O290" s="122"/>
      <c r="P290" s="123"/>
    </row>
    <row r="291" ht="16.5" hidden="1" spans="1:15">
      <c r="A291" s="95" t="s">
        <v>2258</v>
      </c>
      <c r="B291" s="96" t="s">
        <v>1015</v>
      </c>
      <c r="C291" s="118">
        <f t="shared" si="22"/>
        <v>201</v>
      </c>
      <c r="D291" s="119"/>
      <c r="E291" s="119"/>
      <c r="F291" s="119"/>
      <c r="G291" s="119"/>
      <c r="H291" s="119">
        <v>201</v>
      </c>
      <c r="I291" s="119"/>
      <c r="J291" s="119"/>
      <c r="K291" s="119"/>
      <c r="L291" s="119"/>
      <c r="M291" s="119"/>
      <c r="N291" s="119"/>
      <c r="O291" s="119"/>
    </row>
    <row r="292" ht="16.5" hidden="1" spans="1:15">
      <c r="A292" s="95" t="s">
        <v>2259</v>
      </c>
      <c r="B292" s="96" t="s">
        <v>1016</v>
      </c>
      <c r="C292" s="118">
        <f t="shared" si="22"/>
        <v>17348</v>
      </c>
      <c r="D292" s="119"/>
      <c r="E292" s="119"/>
      <c r="F292" s="119"/>
      <c r="G292" s="119"/>
      <c r="H292" s="119"/>
      <c r="I292" s="119"/>
      <c r="J292" s="119"/>
      <c r="K292" s="119"/>
      <c r="L292" s="119"/>
      <c r="M292" s="119">
        <v>17348</v>
      </c>
      <c r="N292" s="119"/>
      <c r="O292" s="119"/>
    </row>
    <row r="293" ht="17" customHeight="1" spans="1:16">
      <c r="A293" s="77"/>
      <c r="B293" s="105" t="s">
        <v>1017</v>
      </c>
      <c r="C293" s="102">
        <f t="shared" si="22"/>
        <v>26708</v>
      </c>
      <c r="D293" s="102"/>
      <c r="E293" s="102">
        <f>38958-34661</f>
        <v>4297</v>
      </c>
      <c r="F293" s="102">
        <f>19928-9614</f>
        <v>10314</v>
      </c>
      <c r="G293" s="102"/>
      <c r="H293" s="102"/>
      <c r="I293" s="102">
        <v>7855</v>
      </c>
      <c r="J293" s="102">
        <v>2026</v>
      </c>
      <c r="K293" s="102">
        <f>3433-1217</f>
        <v>2216</v>
      </c>
      <c r="L293" s="102"/>
      <c r="M293" s="102"/>
      <c r="N293" s="102"/>
      <c r="O293" s="102"/>
      <c r="P293" s="68" t="s">
        <v>578</v>
      </c>
    </row>
    <row r="294" ht="17" customHeight="1" spans="1:16">
      <c r="A294" s="77"/>
      <c r="B294" s="105" t="s">
        <v>2260</v>
      </c>
      <c r="C294" s="102">
        <f t="shared" si="22"/>
        <v>71559</v>
      </c>
      <c r="D294" s="102">
        <v>1518</v>
      </c>
      <c r="E294" s="102">
        <v>22660</v>
      </c>
      <c r="F294" s="102">
        <v>3614</v>
      </c>
      <c r="G294" s="102"/>
      <c r="H294" s="102">
        <f>4405</f>
        <v>4405</v>
      </c>
      <c r="I294" s="102"/>
      <c r="J294" s="102">
        <v>7905</v>
      </c>
      <c r="K294" s="102">
        <v>15232</v>
      </c>
      <c r="L294" s="102">
        <v>16225</v>
      </c>
      <c r="M294" s="102"/>
      <c r="N294" s="102"/>
      <c r="O294" s="102"/>
      <c r="P294" s="68" t="s">
        <v>578</v>
      </c>
    </row>
  </sheetData>
  <sheetProtection password="C70D" sheet="1" objects="1"/>
  <autoFilter ref="A4:P294">
    <filterColumn colId="15">
      <customFilters>
        <customFilter operator="equal" val="是"/>
      </customFilters>
    </filterColumn>
    <extLst/>
  </autoFilter>
  <mergeCells count="1">
    <mergeCell ref="A2:O2"/>
  </mergeCells>
  <printOptions horizontalCentered="1"/>
  <pageMargins left="0.590277777777778" right="0.590277777777778" top="0.984027777777778" bottom="0.786805555555556" header="0.313888888888889" footer="0.313888888888889"/>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outlinePr summaryBelow="0" summaryRight="0"/>
  </sheetPr>
  <dimension ref="A1:M294"/>
  <sheetViews>
    <sheetView showZeros="0" view="pageBreakPreview" zoomScaleNormal="100" workbookViewId="0">
      <pane ySplit="4" topLeftCell="A5" activePane="bottomLeft" state="frozen"/>
      <selection/>
      <selection pane="bottomLeft" activeCell="M1" sqref="M$1:M$1048576"/>
    </sheetView>
  </sheetViews>
  <sheetFormatPr defaultColWidth="9" defaultRowHeight="14.25"/>
  <cols>
    <col min="1" max="1" width="6.625" style="69" customWidth="1"/>
    <col min="2" max="2" width="29.875" style="70" customWidth="1"/>
    <col min="3" max="7" width="8.875" style="71" customWidth="1"/>
    <col min="8" max="8" width="8" style="71" customWidth="1"/>
    <col min="9" max="11" width="8.875" style="71" customWidth="1"/>
    <col min="12" max="12" width="9" style="71"/>
    <col min="13" max="13" width="9" style="71" hidden="1" customWidth="1"/>
    <col min="14" max="16384" width="9" style="71"/>
  </cols>
  <sheetData>
    <row r="1" s="65" customFormat="1" ht="20.1" customHeight="1" spans="1:2">
      <c r="A1" s="72" t="s">
        <v>38</v>
      </c>
      <c r="B1" s="73"/>
    </row>
    <row r="2" s="66" customFormat="1" ht="30" customHeight="1" spans="1:12">
      <c r="A2" s="74" t="s">
        <v>2664</v>
      </c>
      <c r="B2" s="74"/>
      <c r="C2" s="74"/>
      <c r="D2" s="74"/>
      <c r="E2" s="74"/>
      <c r="F2" s="74"/>
      <c r="G2" s="74"/>
      <c r="H2" s="74"/>
      <c r="I2" s="74"/>
      <c r="J2" s="74"/>
      <c r="K2" s="74"/>
      <c r="L2" s="74"/>
    </row>
    <row r="3" s="67" customFormat="1" ht="20.1" customHeight="1" spans="1:12">
      <c r="A3" s="75"/>
      <c r="B3" s="76"/>
      <c r="L3" s="93" t="s">
        <v>45</v>
      </c>
    </row>
    <row r="4" s="68" customFormat="1" ht="60" customHeight="1" spans="1:13">
      <c r="A4" s="77" t="s">
        <v>560</v>
      </c>
      <c r="B4" s="78" t="s">
        <v>2665</v>
      </c>
      <c r="C4" s="79" t="s">
        <v>183</v>
      </c>
      <c r="D4" s="80" t="s">
        <v>2666</v>
      </c>
      <c r="E4" s="80" t="s">
        <v>2667</v>
      </c>
      <c r="F4" s="80" t="s">
        <v>2668</v>
      </c>
      <c r="G4" s="80" t="s">
        <v>2669</v>
      </c>
      <c r="H4" s="80" t="s">
        <v>2670</v>
      </c>
      <c r="I4" s="80" t="s">
        <v>2671</v>
      </c>
      <c r="J4" s="80" t="s">
        <v>2672</v>
      </c>
      <c r="K4" s="80" t="s">
        <v>2673</v>
      </c>
      <c r="L4" s="80" t="s">
        <v>2674</v>
      </c>
      <c r="M4" s="68" t="s">
        <v>577</v>
      </c>
    </row>
    <row r="5" ht="17" customHeight="1" spans="1:13">
      <c r="A5" s="81"/>
      <c r="B5" s="82" t="s">
        <v>562</v>
      </c>
      <c r="C5" s="83">
        <f t="shared" ref="C5:L5" si="0">SUM(C6,C32,C49,C85,C104,C109,C118,C186,C190,C279,C293,C294)</f>
        <v>736849.068646</v>
      </c>
      <c r="D5" s="83">
        <f t="shared" si="0"/>
        <v>274610.761926</v>
      </c>
      <c r="E5" s="83">
        <f t="shared" si="0"/>
        <v>225448.986312</v>
      </c>
      <c r="F5" s="83">
        <f t="shared" si="0"/>
        <v>63528.722704</v>
      </c>
      <c r="G5" s="83">
        <f t="shared" si="0"/>
        <v>18271</v>
      </c>
      <c r="H5" s="83">
        <f t="shared" si="0"/>
        <v>0</v>
      </c>
      <c r="I5" s="83">
        <f t="shared" si="0"/>
        <v>64656.387704</v>
      </c>
      <c r="J5" s="83">
        <f t="shared" si="0"/>
        <v>51499</v>
      </c>
      <c r="K5" s="83">
        <f t="shared" si="0"/>
        <v>36974</v>
      </c>
      <c r="L5" s="83">
        <f t="shared" si="0"/>
        <v>1860.21</v>
      </c>
      <c r="M5" s="94" t="s">
        <v>578</v>
      </c>
    </row>
    <row r="6" ht="17" customHeight="1" spans="1:13">
      <c r="A6" s="81"/>
      <c r="B6" s="84" t="s">
        <v>579</v>
      </c>
      <c r="C6" s="85">
        <f t="shared" ref="C6:L6" si="1">SUM(C7:C31)</f>
        <v>63804.526597</v>
      </c>
      <c r="D6" s="85">
        <f t="shared" si="1"/>
        <v>40463.885115</v>
      </c>
      <c r="E6" s="85">
        <f t="shared" si="1"/>
        <v>20061.564276</v>
      </c>
      <c r="F6" s="85">
        <f t="shared" si="1"/>
        <v>3027.027206</v>
      </c>
      <c r="G6" s="85">
        <f t="shared" si="1"/>
        <v>0</v>
      </c>
      <c r="H6" s="85">
        <f t="shared" si="1"/>
        <v>0</v>
      </c>
      <c r="I6" s="85">
        <f t="shared" si="1"/>
        <v>252.05</v>
      </c>
      <c r="J6" s="85">
        <f t="shared" si="1"/>
        <v>0</v>
      </c>
      <c r="K6" s="85">
        <f t="shared" si="1"/>
        <v>0</v>
      </c>
      <c r="L6" s="85">
        <f t="shared" si="1"/>
        <v>0</v>
      </c>
      <c r="M6" s="94" t="s">
        <v>578</v>
      </c>
    </row>
    <row r="7" ht="17" customHeight="1" spans="1:13">
      <c r="A7" s="395" t="s">
        <v>580</v>
      </c>
      <c r="B7" s="87" t="s">
        <v>1166</v>
      </c>
      <c r="C7" s="88">
        <f t="shared" ref="C7:C31" si="2">SUM(D7:L7)</f>
        <v>1709.995075</v>
      </c>
      <c r="D7" s="88">
        <v>1213.190393</v>
      </c>
      <c r="E7" s="88">
        <v>383.000686</v>
      </c>
      <c r="F7" s="88">
        <v>100.803996</v>
      </c>
      <c r="G7" s="88"/>
      <c r="H7" s="88"/>
      <c r="I7" s="88">
        <v>13</v>
      </c>
      <c r="J7" s="88"/>
      <c r="K7" s="88"/>
      <c r="L7" s="88"/>
      <c r="M7" s="69" t="s">
        <v>578</v>
      </c>
    </row>
    <row r="8" ht="17" customHeight="1" spans="1:13">
      <c r="A8" s="395" t="s">
        <v>582</v>
      </c>
      <c r="B8" s="87" t="s">
        <v>1172</v>
      </c>
      <c r="C8" s="88">
        <f t="shared" si="2"/>
        <v>333.845111</v>
      </c>
      <c r="D8" s="88">
        <v>212.558174</v>
      </c>
      <c r="E8" s="88">
        <v>116.46852</v>
      </c>
      <c r="F8" s="88">
        <v>3.318417</v>
      </c>
      <c r="G8" s="88"/>
      <c r="H8" s="88"/>
      <c r="I8" s="88">
        <v>1.5</v>
      </c>
      <c r="J8" s="88"/>
      <c r="K8" s="88"/>
      <c r="L8" s="88"/>
      <c r="M8" s="69" t="s">
        <v>578</v>
      </c>
    </row>
    <row r="9" ht="17" customHeight="1" spans="1:13">
      <c r="A9" s="395" t="s">
        <v>584</v>
      </c>
      <c r="B9" s="87" t="s">
        <v>585</v>
      </c>
      <c r="C9" s="88">
        <f t="shared" si="2"/>
        <v>726.0495</v>
      </c>
      <c r="D9" s="88">
        <v>376.177398</v>
      </c>
      <c r="E9" s="88">
        <v>336.270282</v>
      </c>
      <c r="F9" s="88">
        <v>13.60182</v>
      </c>
      <c r="G9" s="88"/>
      <c r="H9" s="88"/>
      <c r="I9" s="88"/>
      <c r="J9" s="88"/>
      <c r="K9" s="88"/>
      <c r="L9" s="88"/>
      <c r="M9" s="69" t="s">
        <v>578</v>
      </c>
    </row>
    <row r="10" ht="17" customHeight="1" spans="1:13">
      <c r="A10" s="395" t="s">
        <v>586</v>
      </c>
      <c r="B10" s="87" t="s">
        <v>1179</v>
      </c>
      <c r="C10" s="88">
        <f t="shared" si="2"/>
        <v>1537.370348</v>
      </c>
      <c r="D10" s="88">
        <v>1046.502957</v>
      </c>
      <c r="E10" s="88">
        <v>413.665028</v>
      </c>
      <c r="F10" s="88">
        <v>76.202363</v>
      </c>
      <c r="G10" s="88"/>
      <c r="H10" s="88"/>
      <c r="I10" s="88">
        <v>1</v>
      </c>
      <c r="J10" s="88"/>
      <c r="K10" s="88"/>
      <c r="L10" s="88"/>
      <c r="M10" s="69" t="s">
        <v>578</v>
      </c>
    </row>
    <row r="11" ht="17" customHeight="1" spans="1:13">
      <c r="A11" s="89" t="s">
        <v>588</v>
      </c>
      <c r="B11" s="90" t="s">
        <v>2189</v>
      </c>
      <c r="C11" s="88">
        <f t="shared" si="2"/>
        <v>1300</v>
      </c>
      <c r="D11" s="88"/>
      <c r="E11" s="88">
        <v>1300</v>
      </c>
      <c r="F11" s="88"/>
      <c r="G11" s="88"/>
      <c r="H11" s="88"/>
      <c r="I11" s="88"/>
      <c r="J11" s="88"/>
      <c r="K11" s="88"/>
      <c r="L11" s="88"/>
      <c r="M11" s="69" t="s">
        <v>578</v>
      </c>
    </row>
    <row r="12" ht="17" customHeight="1" spans="1:13">
      <c r="A12" s="395" t="s">
        <v>590</v>
      </c>
      <c r="B12" s="87" t="s">
        <v>1191</v>
      </c>
      <c r="C12" s="88">
        <f t="shared" si="2"/>
        <v>1260.567476</v>
      </c>
      <c r="D12" s="88">
        <v>671.85143</v>
      </c>
      <c r="E12" s="88">
        <v>540.702186</v>
      </c>
      <c r="F12" s="88">
        <v>42.01386</v>
      </c>
      <c r="G12" s="88"/>
      <c r="H12" s="88"/>
      <c r="I12" s="88">
        <v>6</v>
      </c>
      <c r="J12" s="88"/>
      <c r="K12" s="88"/>
      <c r="L12" s="88"/>
      <c r="M12" s="69" t="s">
        <v>578</v>
      </c>
    </row>
    <row r="13" ht="17" customHeight="1" spans="1:13">
      <c r="A13" s="395" t="s">
        <v>592</v>
      </c>
      <c r="B13" s="87" t="s">
        <v>593</v>
      </c>
      <c r="C13" s="88">
        <f t="shared" si="2"/>
        <v>590.908752</v>
      </c>
      <c r="D13" s="88">
        <v>221.54373</v>
      </c>
      <c r="E13" s="88">
        <v>335.083682</v>
      </c>
      <c r="F13" s="88">
        <v>33.28134</v>
      </c>
      <c r="G13" s="88"/>
      <c r="H13" s="88"/>
      <c r="I13" s="88">
        <v>1</v>
      </c>
      <c r="J13" s="88"/>
      <c r="K13" s="88"/>
      <c r="L13" s="88"/>
      <c r="M13" s="69" t="s">
        <v>578</v>
      </c>
    </row>
    <row r="14" ht="17" customHeight="1" spans="1:13">
      <c r="A14" s="395" t="s">
        <v>594</v>
      </c>
      <c r="B14" s="87" t="s">
        <v>595</v>
      </c>
      <c r="C14" s="88">
        <f t="shared" si="2"/>
        <v>219.618913</v>
      </c>
      <c r="D14" s="88">
        <v>120.43031</v>
      </c>
      <c r="E14" s="88">
        <v>99.188603</v>
      </c>
      <c r="F14" s="88"/>
      <c r="G14" s="88"/>
      <c r="H14" s="88"/>
      <c r="I14" s="88"/>
      <c r="J14" s="88"/>
      <c r="K14" s="88"/>
      <c r="L14" s="88"/>
      <c r="M14" s="69" t="s">
        <v>578</v>
      </c>
    </row>
    <row r="15" ht="17" customHeight="1" spans="1:13">
      <c r="A15" s="395" t="s">
        <v>596</v>
      </c>
      <c r="B15" s="87" t="s">
        <v>597</v>
      </c>
      <c r="C15" s="88">
        <f t="shared" si="2"/>
        <v>348.378805</v>
      </c>
      <c r="D15" s="88">
        <v>177.458245</v>
      </c>
      <c r="E15" s="88">
        <v>170.92056</v>
      </c>
      <c r="F15" s="88"/>
      <c r="G15" s="88"/>
      <c r="H15" s="88"/>
      <c r="I15" s="88"/>
      <c r="J15" s="88"/>
      <c r="K15" s="88"/>
      <c r="L15" s="88"/>
      <c r="M15" s="69" t="s">
        <v>578</v>
      </c>
    </row>
    <row r="16" ht="17" customHeight="1" spans="1:13">
      <c r="A16" s="395" t="s">
        <v>598</v>
      </c>
      <c r="B16" s="87" t="s">
        <v>599</v>
      </c>
      <c r="C16" s="88">
        <f t="shared" si="2"/>
        <v>1866.599779</v>
      </c>
      <c r="D16" s="88">
        <v>984.669535</v>
      </c>
      <c r="E16" s="88">
        <v>594.366586</v>
      </c>
      <c r="F16" s="88">
        <v>285.563658</v>
      </c>
      <c r="G16" s="88"/>
      <c r="H16" s="88"/>
      <c r="I16" s="88">
        <v>2</v>
      </c>
      <c r="J16" s="88"/>
      <c r="K16" s="88"/>
      <c r="L16" s="88"/>
      <c r="M16" s="69" t="s">
        <v>578</v>
      </c>
    </row>
    <row r="17" ht="17" customHeight="1" spans="1:13">
      <c r="A17" s="395" t="s">
        <v>600</v>
      </c>
      <c r="B17" s="87" t="s">
        <v>601</v>
      </c>
      <c r="C17" s="88">
        <f t="shared" si="2"/>
        <v>1513.812553</v>
      </c>
      <c r="D17" s="88">
        <v>736.366291</v>
      </c>
      <c r="E17" s="88">
        <v>545.651562</v>
      </c>
      <c r="F17" s="88">
        <v>231.7947</v>
      </c>
      <c r="G17" s="88"/>
      <c r="H17" s="88"/>
      <c r="I17" s="88"/>
      <c r="J17" s="88"/>
      <c r="K17" s="88"/>
      <c r="L17" s="88"/>
      <c r="M17" s="69" t="s">
        <v>578</v>
      </c>
    </row>
    <row r="18" ht="17" customHeight="1" spans="1:13">
      <c r="A18" s="395" t="s">
        <v>1043</v>
      </c>
      <c r="B18" s="87" t="s">
        <v>603</v>
      </c>
      <c r="C18" s="88">
        <f t="shared" si="2"/>
        <v>2594.314383</v>
      </c>
      <c r="D18" s="88">
        <v>1950.35808</v>
      </c>
      <c r="E18" s="88">
        <v>446.342973</v>
      </c>
      <c r="F18" s="88">
        <v>176.61333</v>
      </c>
      <c r="G18" s="88"/>
      <c r="H18" s="88"/>
      <c r="I18" s="88">
        <v>21</v>
      </c>
      <c r="J18" s="88"/>
      <c r="K18" s="88"/>
      <c r="L18" s="88"/>
      <c r="M18" s="69" t="s">
        <v>578</v>
      </c>
    </row>
    <row r="19" ht="17" customHeight="1" spans="1:13">
      <c r="A19" s="395" t="s">
        <v>604</v>
      </c>
      <c r="B19" s="87" t="s">
        <v>605</v>
      </c>
      <c r="C19" s="88">
        <f t="shared" si="2"/>
        <v>1882.367963</v>
      </c>
      <c r="D19" s="88">
        <v>408.641691</v>
      </c>
      <c r="E19" s="88">
        <v>1470.712772</v>
      </c>
      <c r="F19" s="88">
        <v>3.0135</v>
      </c>
      <c r="G19" s="88"/>
      <c r="H19" s="88"/>
      <c r="I19" s="88"/>
      <c r="J19" s="88"/>
      <c r="K19" s="88"/>
      <c r="L19" s="88"/>
      <c r="M19" s="69" t="s">
        <v>578</v>
      </c>
    </row>
    <row r="20" ht="17" customHeight="1" spans="1:13">
      <c r="A20" s="395" t="s">
        <v>606</v>
      </c>
      <c r="B20" s="87" t="s">
        <v>1228</v>
      </c>
      <c r="C20" s="88">
        <f t="shared" si="2"/>
        <v>328.833714</v>
      </c>
      <c r="D20" s="88">
        <v>269.267361</v>
      </c>
      <c r="E20" s="88">
        <v>51.593473</v>
      </c>
      <c r="F20" s="88">
        <v>5.97288</v>
      </c>
      <c r="G20" s="88"/>
      <c r="H20" s="88"/>
      <c r="I20" s="88">
        <v>2</v>
      </c>
      <c r="J20" s="88"/>
      <c r="K20" s="88"/>
      <c r="L20" s="88"/>
      <c r="M20" s="69" t="s">
        <v>578</v>
      </c>
    </row>
    <row r="21" ht="17" customHeight="1" spans="1:13">
      <c r="A21" s="395" t="s">
        <v>608</v>
      </c>
      <c r="B21" s="87" t="s">
        <v>609</v>
      </c>
      <c r="C21" s="88">
        <f t="shared" si="2"/>
        <v>1251.007822</v>
      </c>
      <c r="D21" s="88">
        <v>442.751866</v>
      </c>
      <c r="E21" s="88">
        <v>775.366846</v>
      </c>
      <c r="F21" s="88">
        <v>32.68911</v>
      </c>
      <c r="G21" s="88"/>
      <c r="H21" s="88"/>
      <c r="I21" s="88">
        <v>0.2</v>
      </c>
      <c r="J21" s="88"/>
      <c r="K21" s="88"/>
      <c r="L21" s="88"/>
      <c r="M21" s="69" t="s">
        <v>578</v>
      </c>
    </row>
    <row r="22" ht="17" customHeight="1" spans="1:13">
      <c r="A22" s="395" t="s">
        <v>610</v>
      </c>
      <c r="B22" s="87" t="s">
        <v>611</v>
      </c>
      <c r="C22" s="88">
        <f t="shared" si="2"/>
        <v>1408.005727</v>
      </c>
      <c r="D22" s="88">
        <v>671.683009</v>
      </c>
      <c r="E22" s="88">
        <v>654.029454</v>
      </c>
      <c r="F22" s="88">
        <v>78.843264</v>
      </c>
      <c r="G22" s="88"/>
      <c r="H22" s="88"/>
      <c r="I22" s="88">
        <v>3.45</v>
      </c>
      <c r="J22" s="88"/>
      <c r="K22" s="88"/>
      <c r="L22" s="88"/>
      <c r="M22" s="69" t="s">
        <v>578</v>
      </c>
    </row>
    <row r="23" ht="17" customHeight="1" spans="1:13">
      <c r="A23" s="395" t="s">
        <v>612</v>
      </c>
      <c r="B23" s="87" t="s">
        <v>613</v>
      </c>
      <c r="C23" s="88">
        <f t="shared" si="2"/>
        <v>4165.435745</v>
      </c>
      <c r="D23" s="88">
        <v>2488.961217</v>
      </c>
      <c r="E23" s="88">
        <v>1300.716358</v>
      </c>
      <c r="F23" s="88">
        <v>305.75817</v>
      </c>
      <c r="G23" s="88"/>
      <c r="H23" s="88"/>
      <c r="I23" s="88">
        <v>70</v>
      </c>
      <c r="J23" s="88"/>
      <c r="K23" s="88"/>
      <c r="L23" s="88"/>
      <c r="M23" s="69" t="s">
        <v>578</v>
      </c>
    </row>
    <row r="24" ht="17" customHeight="1" spans="1:13">
      <c r="A24" s="395" t="s">
        <v>614</v>
      </c>
      <c r="B24" s="87" t="s">
        <v>615</v>
      </c>
      <c r="C24" s="88">
        <f t="shared" si="2"/>
        <v>25680.80942</v>
      </c>
      <c r="D24" s="88">
        <v>17972.804149</v>
      </c>
      <c r="E24" s="88">
        <v>6850.751047</v>
      </c>
      <c r="F24" s="88">
        <v>797.254224</v>
      </c>
      <c r="G24" s="88"/>
      <c r="H24" s="88"/>
      <c r="I24" s="88">
        <v>60</v>
      </c>
      <c r="J24" s="88"/>
      <c r="K24" s="88"/>
      <c r="L24" s="88"/>
      <c r="M24" s="69" t="s">
        <v>578</v>
      </c>
    </row>
    <row r="25" ht="17" customHeight="1" spans="1:13">
      <c r="A25" s="395" t="s">
        <v>616</v>
      </c>
      <c r="B25" s="87" t="s">
        <v>617</v>
      </c>
      <c r="C25" s="88">
        <f t="shared" si="2"/>
        <v>2386.039149</v>
      </c>
      <c r="D25" s="88">
        <v>1616.986607</v>
      </c>
      <c r="E25" s="88">
        <v>594.718982</v>
      </c>
      <c r="F25" s="88">
        <v>155.83356</v>
      </c>
      <c r="G25" s="88"/>
      <c r="H25" s="88"/>
      <c r="I25" s="88">
        <v>18.5</v>
      </c>
      <c r="J25" s="88"/>
      <c r="K25" s="88"/>
      <c r="L25" s="88"/>
      <c r="M25" s="69" t="s">
        <v>578</v>
      </c>
    </row>
    <row r="26" ht="17" customHeight="1" spans="1:13">
      <c r="A26" s="395" t="s">
        <v>618</v>
      </c>
      <c r="B26" s="87" t="s">
        <v>2190</v>
      </c>
      <c r="C26" s="88">
        <f t="shared" si="2"/>
        <v>576.564334</v>
      </c>
      <c r="D26" s="88">
        <v>372.85992</v>
      </c>
      <c r="E26" s="88">
        <v>172.361884</v>
      </c>
      <c r="F26" s="88">
        <v>28.94253</v>
      </c>
      <c r="G26" s="88"/>
      <c r="H26" s="88"/>
      <c r="I26" s="88">
        <v>2.4</v>
      </c>
      <c r="J26" s="88"/>
      <c r="K26" s="88"/>
      <c r="L26" s="88"/>
      <c r="M26" s="69" t="s">
        <v>578</v>
      </c>
    </row>
    <row r="27" ht="17" customHeight="1" spans="1:13">
      <c r="A27" s="395" t="s">
        <v>620</v>
      </c>
      <c r="B27" s="87" t="s">
        <v>1267</v>
      </c>
      <c r="C27" s="88">
        <f t="shared" si="2"/>
        <v>4092.406214</v>
      </c>
      <c r="D27" s="88">
        <v>2581.513978</v>
      </c>
      <c r="E27" s="88">
        <v>1462.376482</v>
      </c>
      <c r="F27" s="88">
        <v>48.515754</v>
      </c>
      <c r="G27" s="88"/>
      <c r="H27" s="88"/>
      <c r="I27" s="88"/>
      <c r="J27" s="88"/>
      <c r="K27" s="88"/>
      <c r="L27" s="88"/>
      <c r="M27" s="69" t="s">
        <v>578</v>
      </c>
    </row>
    <row r="28" ht="17" customHeight="1" spans="1:13">
      <c r="A28" s="395" t="s">
        <v>622</v>
      </c>
      <c r="B28" s="87" t="s">
        <v>1275</v>
      </c>
      <c r="C28" s="88">
        <f t="shared" si="2"/>
        <v>523.254971</v>
      </c>
      <c r="D28" s="88">
        <v>320.788869</v>
      </c>
      <c r="E28" s="88">
        <v>202.235702</v>
      </c>
      <c r="F28" s="88">
        <v>0.2304</v>
      </c>
      <c r="G28" s="88"/>
      <c r="H28" s="88"/>
      <c r="I28" s="88"/>
      <c r="J28" s="88"/>
      <c r="K28" s="88"/>
      <c r="L28" s="88"/>
      <c r="M28" s="69" t="s">
        <v>578</v>
      </c>
    </row>
    <row r="29" ht="17" customHeight="1" spans="1:13">
      <c r="A29" s="395" t="s">
        <v>624</v>
      </c>
      <c r="B29" s="87" t="s">
        <v>625</v>
      </c>
      <c r="C29" s="88">
        <f t="shared" si="2"/>
        <v>6532.22085</v>
      </c>
      <c r="D29" s="88">
        <v>5010.259794</v>
      </c>
      <c r="E29" s="88">
        <v>978.883536</v>
      </c>
      <c r="F29" s="88">
        <v>495.07752</v>
      </c>
      <c r="G29" s="88"/>
      <c r="H29" s="88"/>
      <c r="I29" s="88">
        <v>48</v>
      </c>
      <c r="J29" s="88"/>
      <c r="K29" s="88"/>
      <c r="L29" s="88"/>
      <c r="M29" s="69" t="s">
        <v>578</v>
      </c>
    </row>
    <row r="30" ht="17" customHeight="1" spans="1:13">
      <c r="A30" s="395" t="s">
        <v>626</v>
      </c>
      <c r="B30" s="87" t="s">
        <v>627</v>
      </c>
      <c r="C30" s="88">
        <f t="shared" si="2"/>
        <v>767.547181</v>
      </c>
      <c r="D30" s="88">
        <v>522.342499</v>
      </c>
      <c r="E30" s="88">
        <v>186.157072</v>
      </c>
      <c r="F30" s="88">
        <v>57.04761</v>
      </c>
      <c r="G30" s="88"/>
      <c r="H30" s="88"/>
      <c r="I30" s="88">
        <v>2</v>
      </c>
      <c r="J30" s="88"/>
      <c r="K30" s="88"/>
      <c r="L30" s="88"/>
      <c r="M30" s="69" t="s">
        <v>578</v>
      </c>
    </row>
    <row r="31" ht="17" customHeight="1" spans="1:13">
      <c r="A31" s="395" t="s">
        <v>628</v>
      </c>
      <c r="B31" s="87" t="s">
        <v>629</v>
      </c>
      <c r="C31" s="88">
        <f t="shared" si="2"/>
        <v>208.572812</v>
      </c>
      <c r="D31" s="88">
        <v>73.917612</v>
      </c>
      <c r="E31" s="88">
        <v>80</v>
      </c>
      <c r="F31" s="88">
        <v>54.6552</v>
      </c>
      <c r="G31" s="88"/>
      <c r="H31" s="88"/>
      <c r="I31" s="88"/>
      <c r="J31" s="88"/>
      <c r="K31" s="88"/>
      <c r="L31" s="88"/>
      <c r="M31" s="69" t="s">
        <v>578</v>
      </c>
    </row>
    <row r="32" ht="17" customHeight="1" spans="1:13">
      <c r="A32" s="91"/>
      <c r="B32" s="84" t="s">
        <v>630</v>
      </c>
      <c r="C32" s="92">
        <f t="shared" ref="C32:L32" si="3">SUM(C33:C48)</f>
        <v>10671.410082</v>
      </c>
      <c r="D32" s="92">
        <f t="shared" si="3"/>
        <v>8058.820041</v>
      </c>
      <c r="E32" s="92">
        <f t="shared" si="3"/>
        <v>1631.03028</v>
      </c>
      <c r="F32" s="92">
        <f t="shared" si="3"/>
        <v>957.449761</v>
      </c>
      <c r="G32" s="92">
        <f t="shared" si="3"/>
        <v>0</v>
      </c>
      <c r="H32" s="92">
        <f t="shared" si="3"/>
        <v>0</v>
      </c>
      <c r="I32" s="92">
        <f t="shared" si="3"/>
        <v>24.11</v>
      </c>
      <c r="J32" s="92">
        <f t="shared" si="3"/>
        <v>0</v>
      </c>
      <c r="K32" s="92">
        <f t="shared" si="3"/>
        <v>0</v>
      </c>
      <c r="L32" s="92">
        <f t="shared" si="3"/>
        <v>0</v>
      </c>
      <c r="M32" s="69" t="s">
        <v>578</v>
      </c>
    </row>
    <row r="33" ht="17" customHeight="1" spans="1:13">
      <c r="A33" s="86" t="s">
        <v>631</v>
      </c>
      <c r="B33" s="87" t="s">
        <v>632</v>
      </c>
      <c r="C33" s="88">
        <f t="shared" ref="C33:C48" si="4">SUM(D33:L33)</f>
        <v>1068.808657</v>
      </c>
      <c r="D33" s="88">
        <v>792.565525</v>
      </c>
      <c r="E33" s="88">
        <v>163.578852</v>
      </c>
      <c r="F33" s="88">
        <v>107.26428</v>
      </c>
      <c r="G33" s="88"/>
      <c r="H33" s="88"/>
      <c r="I33" s="88">
        <v>5.4</v>
      </c>
      <c r="J33" s="88"/>
      <c r="K33" s="88"/>
      <c r="L33" s="88"/>
      <c r="M33" s="94" t="s">
        <v>578</v>
      </c>
    </row>
    <row r="34" ht="17" customHeight="1" spans="1:13">
      <c r="A34" s="86" t="s">
        <v>633</v>
      </c>
      <c r="B34" s="87" t="s">
        <v>634</v>
      </c>
      <c r="C34" s="88">
        <f t="shared" si="4"/>
        <v>553.119496</v>
      </c>
      <c r="D34" s="88">
        <v>344.002322</v>
      </c>
      <c r="E34" s="88">
        <v>116.380634</v>
      </c>
      <c r="F34" s="88">
        <v>92.73654</v>
      </c>
      <c r="G34" s="88"/>
      <c r="H34" s="88"/>
      <c r="I34" s="88"/>
      <c r="J34" s="88"/>
      <c r="K34" s="88"/>
      <c r="L34" s="88"/>
      <c r="M34" s="69" t="s">
        <v>578</v>
      </c>
    </row>
    <row r="35" ht="17" customHeight="1" spans="1:13">
      <c r="A35" s="86" t="s">
        <v>635</v>
      </c>
      <c r="B35" s="87" t="s">
        <v>636</v>
      </c>
      <c r="C35" s="88">
        <f t="shared" si="4"/>
        <v>1927.572343</v>
      </c>
      <c r="D35" s="88">
        <v>1518.479367</v>
      </c>
      <c r="E35" s="88">
        <v>298.742976</v>
      </c>
      <c r="F35" s="88">
        <v>109.5</v>
      </c>
      <c r="G35" s="88"/>
      <c r="H35" s="88"/>
      <c r="I35" s="88">
        <v>0.85</v>
      </c>
      <c r="J35" s="88"/>
      <c r="K35" s="88"/>
      <c r="L35" s="88"/>
      <c r="M35" s="69" t="s">
        <v>578</v>
      </c>
    </row>
    <row r="36" ht="17" customHeight="1" spans="1:13">
      <c r="A36" s="86" t="s">
        <v>637</v>
      </c>
      <c r="B36" s="87" t="s">
        <v>638</v>
      </c>
      <c r="C36" s="88">
        <f t="shared" si="4"/>
        <v>253.198308</v>
      </c>
      <c r="D36" s="88">
        <v>188.584854</v>
      </c>
      <c r="E36" s="88">
        <v>46.208454</v>
      </c>
      <c r="F36" s="88">
        <v>18.405</v>
      </c>
      <c r="G36" s="88"/>
      <c r="H36" s="88"/>
      <c r="I36" s="88"/>
      <c r="J36" s="88"/>
      <c r="K36" s="88"/>
      <c r="L36" s="88"/>
      <c r="M36" s="69" t="s">
        <v>578</v>
      </c>
    </row>
    <row r="37" ht="17" customHeight="1" spans="1:13">
      <c r="A37" s="86" t="s">
        <v>639</v>
      </c>
      <c r="B37" s="87" t="s">
        <v>640</v>
      </c>
      <c r="C37" s="88">
        <f t="shared" si="4"/>
        <v>619.1208</v>
      </c>
      <c r="D37" s="88">
        <v>504.695908</v>
      </c>
      <c r="E37" s="88">
        <v>53.704892</v>
      </c>
      <c r="F37" s="88">
        <v>60.72</v>
      </c>
      <c r="G37" s="88"/>
      <c r="H37" s="88"/>
      <c r="I37" s="88"/>
      <c r="J37" s="88"/>
      <c r="K37" s="88"/>
      <c r="L37" s="88"/>
      <c r="M37" s="69" t="s">
        <v>578</v>
      </c>
    </row>
    <row r="38" ht="17" customHeight="1" spans="1:13">
      <c r="A38" s="86" t="s">
        <v>641</v>
      </c>
      <c r="B38" s="87" t="s">
        <v>642</v>
      </c>
      <c r="C38" s="88">
        <f t="shared" si="4"/>
        <v>404.003311</v>
      </c>
      <c r="D38" s="88">
        <v>307.080626</v>
      </c>
      <c r="E38" s="88">
        <v>39.679685</v>
      </c>
      <c r="F38" s="88">
        <v>54.243</v>
      </c>
      <c r="G38" s="88"/>
      <c r="H38" s="88"/>
      <c r="I38" s="88">
        <v>3</v>
      </c>
      <c r="J38" s="88"/>
      <c r="K38" s="88"/>
      <c r="L38" s="88"/>
      <c r="M38" s="69" t="s">
        <v>578</v>
      </c>
    </row>
    <row r="39" ht="17" customHeight="1" spans="1:13">
      <c r="A39" s="86" t="s">
        <v>643</v>
      </c>
      <c r="B39" s="87" t="s">
        <v>644</v>
      </c>
      <c r="C39" s="88">
        <f t="shared" si="4"/>
        <v>84.645779</v>
      </c>
      <c r="D39" s="88">
        <v>40.890815</v>
      </c>
      <c r="E39" s="88">
        <v>3.565464</v>
      </c>
      <c r="F39" s="88">
        <v>40.1895</v>
      </c>
      <c r="G39" s="88"/>
      <c r="H39" s="88"/>
      <c r="I39" s="88"/>
      <c r="J39" s="88"/>
      <c r="K39" s="88"/>
      <c r="L39" s="88"/>
      <c r="M39" s="69" t="s">
        <v>578</v>
      </c>
    </row>
    <row r="40" ht="17" customHeight="1" spans="1:13">
      <c r="A40" s="86" t="s">
        <v>645</v>
      </c>
      <c r="B40" s="87" t="s">
        <v>646</v>
      </c>
      <c r="C40" s="88">
        <f t="shared" si="4"/>
        <v>581.561728</v>
      </c>
      <c r="D40" s="88">
        <v>360.35136</v>
      </c>
      <c r="E40" s="88">
        <v>66.245778</v>
      </c>
      <c r="F40" s="88">
        <v>154.96459</v>
      </c>
      <c r="G40" s="88"/>
      <c r="H40" s="88"/>
      <c r="I40" s="88"/>
      <c r="J40" s="88"/>
      <c r="K40" s="88"/>
      <c r="L40" s="88"/>
      <c r="M40" s="69" t="s">
        <v>578</v>
      </c>
    </row>
    <row r="41" ht="17" customHeight="1" spans="1:13">
      <c r="A41" s="86" t="s">
        <v>647</v>
      </c>
      <c r="B41" s="87" t="s">
        <v>648</v>
      </c>
      <c r="C41" s="88">
        <f t="shared" si="4"/>
        <v>488.349382</v>
      </c>
      <c r="D41" s="88">
        <v>342.964238</v>
      </c>
      <c r="E41" s="88">
        <v>77.887894</v>
      </c>
      <c r="F41" s="88">
        <v>66.49725</v>
      </c>
      <c r="G41" s="88"/>
      <c r="H41" s="88"/>
      <c r="I41" s="88">
        <v>1</v>
      </c>
      <c r="J41" s="88"/>
      <c r="K41" s="88"/>
      <c r="L41" s="88"/>
      <c r="M41" s="69" t="s">
        <v>578</v>
      </c>
    </row>
    <row r="42" ht="17" customHeight="1" spans="1:13">
      <c r="A42" s="86" t="s">
        <v>649</v>
      </c>
      <c r="B42" s="87" t="s">
        <v>650</v>
      </c>
      <c r="C42" s="88">
        <f t="shared" si="4"/>
        <v>436.86205</v>
      </c>
      <c r="D42" s="88">
        <v>275.016998</v>
      </c>
      <c r="E42" s="88">
        <v>161.645052</v>
      </c>
      <c r="F42" s="88"/>
      <c r="G42" s="88"/>
      <c r="H42" s="88"/>
      <c r="I42" s="88">
        <v>0.2</v>
      </c>
      <c r="J42" s="88"/>
      <c r="K42" s="88"/>
      <c r="L42" s="88"/>
      <c r="M42" s="69" t="s">
        <v>578</v>
      </c>
    </row>
    <row r="43" ht="17" customHeight="1" spans="1:13">
      <c r="A43" s="86" t="s">
        <v>651</v>
      </c>
      <c r="B43" s="87" t="s">
        <v>652</v>
      </c>
      <c r="C43" s="88">
        <f t="shared" si="4"/>
        <v>384.150613</v>
      </c>
      <c r="D43" s="88">
        <v>253.260117</v>
      </c>
      <c r="E43" s="88">
        <v>100.434835</v>
      </c>
      <c r="F43" s="88">
        <v>30.455661</v>
      </c>
      <c r="G43" s="88"/>
      <c r="H43" s="88"/>
      <c r="I43" s="88"/>
      <c r="J43" s="88"/>
      <c r="K43" s="88"/>
      <c r="L43" s="88"/>
      <c r="M43" s="69" t="s">
        <v>578</v>
      </c>
    </row>
    <row r="44" ht="17" customHeight="1" spans="1:13">
      <c r="A44" s="86" t="s">
        <v>653</v>
      </c>
      <c r="B44" s="87" t="s">
        <v>654</v>
      </c>
      <c r="C44" s="88">
        <f t="shared" si="4"/>
        <v>1852.330757</v>
      </c>
      <c r="D44" s="88">
        <v>1474.456997</v>
      </c>
      <c r="E44" s="88">
        <v>199.06932</v>
      </c>
      <c r="F44" s="88">
        <v>171.24444</v>
      </c>
      <c r="G44" s="88"/>
      <c r="H44" s="88"/>
      <c r="I44" s="88">
        <v>7.56</v>
      </c>
      <c r="J44" s="88"/>
      <c r="K44" s="88"/>
      <c r="L44" s="88"/>
      <c r="M44" s="69" t="s">
        <v>578</v>
      </c>
    </row>
    <row r="45" ht="17" customHeight="1" spans="1:13">
      <c r="A45" s="86" t="s">
        <v>655</v>
      </c>
      <c r="B45" s="87" t="s">
        <v>656</v>
      </c>
      <c r="C45" s="88">
        <f t="shared" si="4"/>
        <v>1092.118146</v>
      </c>
      <c r="D45" s="88">
        <v>954.90995</v>
      </c>
      <c r="E45" s="88">
        <v>83.992196</v>
      </c>
      <c r="F45" s="88">
        <v>48.216</v>
      </c>
      <c r="G45" s="88"/>
      <c r="H45" s="88"/>
      <c r="I45" s="88">
        <v>5</v>
      </c>
      <c r="J45" s="88"/>
      <c r="K45" s="88"/>
      <c r="L45" s="88"/>
      <c r="M45" s="69" t="s">
        <v>578</v>
      </c>
    </row>
    <row r="46" ht="17" customHeight="1" spans="1:13">
      <c r="A46" s="86" t="s">
        <v>657</v>
      </c>
      <c r="B46" s="87" t="s">
        <v>658</v>
      </c>
      <c r="C46" s="88">
        <f t="shared" si="4"/>
        <v>245.37317</v>
      </c>
      <c r="D46" s="88">
        <v>202.979594</v>
      </c>
      <c r="E46" s="88">
        <v>39.280076</v>
      </c>
      <c r="F46" s="88">
        <v>3.0135</v>
      </c>
      <c r="G46" s="88"/>
      <c r="H46" s="88"/>
      <c r="I46" s="88">
        <v>0.1</v>
      </c>
      <c r="J46" s="88"/>
      <c r="K46" s="88"/>
      <c r="L46" s="88"/>
      <c r="M46" s="69" t="s">
        <v>578</v>
      </c>
    </row>
    <row r="47" ht="17" customHeight="1" spans="1:13">
      <c r="A47" s="86" t="s">
        <v>659</v>
      </c>
      <c r="B47" s="87" t="s">
        <v>660</v>
      </c>
      <c r="C47" s="88">
        <f t="shared" si="4"/>
        <v>312.84298</v>
      </c>
      <c r="D47" s="88">
        <v>244.5988</v>
      </c>
      <c r="E47" s="88">
        <v>67.24418</v>
      </c>
      <c r="F47" s="88"/>
      <c r="G47" s="88"/>
      <c r="H47" s="88"/>
      <c r="I47" s="88">
        <v>1</v>
      </c>
      <c r="J47" s="88"/>
      <c r="K47" s="88"/>
      <c r="L47" s="88"/>
      <c r="M47" s="69" t="s">
        <v>578</v>
      </c>
    </row>
    <row r="48" ht="17" customHeight="1" spans="1:13">
      <c r="A48" s="86" t="s">
        <v>661</v>
      </c>
      <c r="B48" s="87" t="s">
        <v>662</v>
      </c>
      <c r="C48" s="88">
        <f t="shared" si="4"/>
        <v>367.352562</v>
      </c>
      <c r="D48" s="88">
        <v>253.98257</v>
      </c>
      <c r="E48" s="88">
        <v>113.369992</v>
      </c>
      <c r="F48" s="88"/>
      <c r="G48" s="88"/>
      <c r="H48" s="88"/>
      <c r="I48" s="88"/>
      <c r="J48" s="88"/>
      <c r="K48" s="88"/>
      <c r="L48" s="88"/>
      <c r="M48" s="69" t="s">
        <v>578</v>
      </c>
    </row>
    <row r="49" ht="17" customHeight="1" spans="1:13">
      <c r="A49" s="91"/>
      <c r="B49" s="84" t="s">
        <v>663</v>
      </c>
      <c r="C49" s="92">
        <f t="shared" ref="C49:L49" si="5">SUM(C50:C84)</f>
        <v>47494.447591</v>
      </c>
      <c r="D49" s="92">
        <f t="shared" si="5"/>
        <v>19858.738392</v>
      </c>
      <c r="E49" s="92">
        <f t="shared" si="5"/>
        <v>7302.054355</v>
      </c>
      <c r="F49" s="92">
        <f t="shared" si="5"/>
        <v>16161.56094</v>
      </c>
      <c r="G49" s="92">
        <f t="shared" si="5"/>
        <v>0</v>
      </c>
      <c r="H49" s="92">
        <f t="shared" si="5"/>
        <v>0</v>
      </c>
      <c r="I49" s="92">
        <f t="shared" si="5"/>
        <v>4172.093904</v>
      </c>
      <c r="J49" s="92">
        <f t="shared" si="5"/>
        <v>0</v>
      </c>
      <c r="K49" s="92">
        <f t="shared" si="5"/>
        <v>0</v>
      </c>
      <c r="L49" s="92">
        <f t="shared" si="5"/>
        <v>0</v>
      </c>
      <c r="M49" s="69" t="s">
        <v>578</v>
      </c>
    </row>
    <row r="50" ht="17" customHeight="1" spans="1:13">
      <c r="A50" s="86" t="s">
        <v>1050</v>
      </c>
      <c r="B50" s="87" t="s">
        <v>664</v>
      </c>
      <c r="C50" s="88">
        <f t="shared" ref="C50:C84" si="6">SUM(D50:L50)</f>
        <v>8656.407926</v>
      </c>
      <c r="D50" s="88">
        <v>887.426071</v>
      </c>
      <c r="E50" s="88">
        <v>786.823788</v>
      </c>
      <c r="F50" s="88">
        <v>6972.158067</v>
      </c>
      <c r="G50" s="88"/>
      <c r="H50" s="88"/>
      <c r="I50" s="88">
        <v>10</v>
      </c>
      <c r="J50" s="88"/>
      <c r="K50" s="88"/>
      <c r="L50" s="88"/>
      <c r="M50" s="69" t="s">
        <v>578</v>
      </c>
    </row>
    <row r="51" ht="17" customHeight="1" spans="1:13">
      <c r="A51" s="86" t="s">
        <v>1051</v>
      </c>
      <c r="B51" s="87" t="s">
        <v>665</v>
      </c>
      <c r="C51" s="88">
        <f t="shared" si="6"/>
        <v>245.76835</v>
      </c>
      <c r="D51" s="88">
        <v>170.806098</v>
      </c>
      <c r="E51" s="88">
        <v>56.881252</v>
      </c>
      <c r="F51" s="88">
        <v>18.081</v>
      </c>
      <c r="G51" s="88"/>
      <c r="H51" s="88"/>
      <c r="I51" s="88"/>
      <c r="J51" s="88"/>
      <c r="K51" s="88"/>
      <c r="L51" s="88"/>
      <c r="M51" s="69" t="s">
        <v>578</v>
      </c>
    </row>
    <row r="52" ht="17" customHeight="1" spans="1:13">
      <c r="A52" s="86" t="s">
        <v>1052</v>
      </c>
      <c r="B52" s="87" t="s">
        <v>666</v>
      </c>
      <c r="C52" s="88">
        <f t="shared" si="6"/>
        <v>2131.479779</v>
      </c>
      <c r="D52" s="88">
        <v>409.184475</v>
      </c>
      <c r="E52" s="88">
        <v>31.689</v>
      </c>
      <c r="F52" s="88">
        <v>619.1235</v>
      </c>
      <c r="G52" s="88"/>
      <c r="H52" s="88"/>
      <c r="I52" s="88">
        <v>1071.482804</v>
      </c>
      <c r="J52" s="88"/>
      <c r="K52" s="88"/>
      <c r="L52" s="88"/>
      <c r="M52" s="69" t="s">
        <v>578</v>
      </c>
    </row>
    <row r="53" ht="17" customHeight="1" spans="1:13">
      <c r="A53" s="86" t="s">
        <v>1053</v>
      </c>
      <c r="B53" s="87" t="s">
        <v>667</v>
      </c>
      <c r="C53" s="88">
        <f t="shared" si="6"/>
        <v>2280.485582</v>
      </c>
      <c r="D53" s="88">
        <v>455.056508</v>
      </c>
      <c r="E53" s="88">
        <v>786.908074</v>
      </c>
      <c r="F53" s="88">
        <v>1036.271</v>
      </c>
      <c r="G53" s="88"/>
      <c r="H53" s="88"/>
      <c r="I53" s="88">
        <v>2.25</v>
      </c>
      <c r="J53" s="88"/>
      <c r="K53" s="88"/>
      <c r="L53" s="88"/>
      <c r="M53" s="69" t="s">
        <v>578</v>
      </c>
    </row>
    <row r="54" ht="17" customHeight="1" spans="1:13">
      <c r="A54" s="86" t="s">
        <v>1054</v>
      </c>
      <c r="B54" s="87" t="s">
        <v>668</v>
      </c>
      <c r="C54" s="88">
        <f t="shared" si="6"/>
        <v>143.143112</v>
      </c>
      <c r="D54" s="88">
        <v>84.533292</v>
      </c>
      <c r="E54" s="88">
        <v>45.56932</v>
      </c>
      <c r="F54" s="88">
        <v>13.0405</v>
      </c>
      <c r="G54" s="88"/>
      <c r="H54" s="88"/>
      <c r="I54" s="88"/>
      <c r="J54" s="88"/>
      <c r="K54" s="88"/>
      <c r="L54" s="88"/>
      <c r="M54" s="69" t="s">
        <v>578</v>
      </c>
    </row>
    <row r="55" ht="17" customHeight="1" spans="1:13">
      <c r="A55" s="86" t="s">
        <v>1055</v>
      </c>
      <c r="B55" s="87" t="s">
        <v>669</v>
      </c>
      <c r="C55" s="88">
        <f t="shared" si="6"/>
        <v>1567.023679</v>
      </c>
      <c r="D55" s="88">
        <v>356.341699</v>
      </c>
      <c r="E55" s="88">
        <v>50.19097</v>
      </c>
      <c r="F55" s="88">
        <v>1158.99101</v>
      </c>
      <c r="G55" s="88"/>
      <c r="H55" s="88"/>
      <c r="I55" s="88">
        <v>1.5</v>
      </c>
      <c r="J55" s="88"/>
      <c r="K55" s="88"/>
      <c r="L55" s="88"/>
      <c r="M55" s="69" t="s">
        <v>578</v>
      </c>
    </row>
    <row r="56" ht="17" customHeight="1" spans="1:13">
      <c r="A56" s="86" t="s">
        <v>1056</v>
      </c>
      <c r="B56" s="87" t="s">
        <v>670</v>
      </c>
      <c r="C56" s="88">
        <f t="shared" si="6"/>
        <v>3321.756562</v>
      </c>
      <c r="D56" s="88">
        <v>1011.104305</v>
      </c>
      <c r="E56" s="88">
        <v>264.992257</v>
      </c>
      <c r="F56" s="88">
        <v>2039.612</v>
      </c>
      <c r="G56" s="88"/>
      <c r="H56" s="88"/>
      <c r="I56" s="88">
        <v>6.048</v>
      </c>
      <c r="J56" s="88"/>
      <c r="K56" s="88"/>
      <c r="L56" s="88"/>
      <c r="M56" s="69" t="s">
        <v>578</v>
      </c>
    </row>
    <row r="57" ht="17" customHeight="1" spans="1:13">
      <c r="A57" s="86" t="s">
        <v>1057</v>
      </c>
      <c r="B57" s="87" t="s">
        <v>671</v>
      </c>
      <c r="C57" s="88">
        <f t="shared" si="6"/>
        <v>1775.606294</v>
      </c>
      <c r="D57" s="88">
        <v>1035.775724</v>
      </c>
      <c r="E57" s="88">
        <v>425.60572</v>
      </c>
      <c r="F57" s="88">
        <v>314.22485</v>
      </c>
      <c r="G57" s="88"/>
      <c r="H57" s="88"/>
      <c r="I57" s="88"/>
      <c r="J57" s="88"/>
      <c r="K57" s="88"/>
      <c r="L57" s="88"/>
      <c r="M57" s="69" t="s">
        <v>578</v>
      </c>
    </row>
    <row r="58" ht="17" customHeight="1" spans="1:13">
      <c r="A58" s="86" t="s">
        <v>1058</v>
      </c>
      <c r="B58" s="87" t="s">
        <v>672</v>
      </c>
      <c r="C58" s="88">
        <f t="shared" si="6"/>
        <v>2716.769533</v>
      </c>
      <c r="D58" s="88">
        <v>575.812737</v>
      </c>
      <c r="E58" s="88">
        <v>2091.827196</v>
      </c>
      <c r="F58" s="88">
        <v>46.2165</v>
      </c>
      <c r="G58" s="88"/>
      <c r="H58" s="88"/>
      <c r="I58" s="88">
        <v>2.9131</v>
      </c>
      <c r="J58" s="88"/>
      <c r="K58" s="88"/>
      <c r="L58" s="88"/>
      <c r="M58" s="69" t="s">
        <v>578</v>
      </c>
    </row>
    <row r="59" ht="17" customHeight="1" spans="1:13">
      <c r="A59" s="86" t="s">
        <v>1059</v>
      </c>
      <c r="B59" s="87" t="s">
        <v>673</v>
      </c>
      <c r="C59" s="88">
        <f t="shared" si="6"/>
        <v>826.788727</v>
      </c>
      <c r="D59" s="88">
        <v>622.326527</v>
      </c>
      <c r="E59" s="88">
        <v>113.14245</v>
      </c>
      <c r="F59" s="88">
        <v>87.81975</v>
      </c>
      <c r="G59" s="88"/>
      <c r="H59" s="88"/>
      <c r="I59" s="88">
        <v>3.5</v>
      </c>
      <c r="J59" s="88"/>
      <c r="K59" s="88"/>
      <c r="L59" s="88"/>
      <c r="M59" s="94" t="s">
        <v>578</v>
      </c>
    </row>
    <row r="60" ht="17" customHeight="1" spans="1:13">
      <c r="A60" s="86" t="s">
        <v>1060</v>
      </c>
      <c r="B60" s="87" t="s">
        <v>674</v>
      </c>
      <c r="C60" s="88">
        <f t="shared" si="6"/>
        <v>645.087091</v>
      </c>
      <c r="D60" s="88">
        <v>279.037455</v>
      </c>
      <c r="E60" s="88">
        <v>363.036136</v>
      </c>
      <c r="F60" s="88">
        <v>3.0135</v>
      </c>
      <c r="G60" s="88"/>
      <c r="H60" s="88"/>
      <c r="I60" s="88"/>
      <c r="J60" s="88"/>
      <c r="K60" s="88"/>
      <c r="L60" s="88"/>
      <c r="M60" s="69" t="s">
        <v>578</v>
      </c>
    </row>
    <row r="61" ht="17" customHeight="1" spans="1:13">
      <c r="A61" s="86" t="s">
        <v>1061</v>
      </c>
      <c r="B61" s="87" t="s">
        <v>675</v>
      </c>
      <c r="C61" s="88">
        <f t="shared" si="6"/>
        <v>2579.280606</v>
      </c>
      <c r="D61" s="88">
        <v>1094.983074</v>
      </c>
      <c r="E61" s="88">
        <v>1284.421722</v>
      </c>
      <c r="F61" s="88">
        <v>199.87581</v>
      </c>
      <c r="G61" s="88"/>
      <c r="H61" s="88"/>
      <c r="I61" s="88"/>
      <c r="J61" s="88"/>
      <c r="K61" s="88"/>
      <c r="L61" s="88"/>
      <c r="M61" s="69" t="s">
        <v>578</v>
      </c>
    </row>
    <row r="62" ht="17" customHeight="1" spans="1:13">
      <c r="A62" s="86" t="s">
        <v>1062</v>
      </c>
      <c r="B62" s="87" t="s">
        <v>676</v>
      </c>
      <c r="C62" s="88">
        <f t="shared" si="6"/>
        <v>762.848585</v>
      </c>
      <c r="D62" s="88">
        <v>614.392031</v>
      </c>
      <c r="E62" s="88">
        <v>86.003046</v>
      </c>
      <c r="F62" s="88">
        <v>62.453508</v>
      </c>
      <c r="G62" s="88"/>
      <c r="H62" s="88"/>
      <c r="I62" s="88"/>
      <c r="J62" s="88"/>
      <c r="K62" s="88"/>
      <c r="L62" s="88"/>
      <c r="M62" s="69" t="s">
        <v>578</v>
      </c>
    </row>
    <row r="63" ht="17" customHeight="1" spans="1:13">
      <c r="A63" s="86" t="s">
        <v>1063</v>
      </c>
      <c r="B63" s="87" t="s">
        <v>677</v>
      </c>
      <c r="C63" s="88">
        <f t="shared" si="6"/>
        <v>1873.5936</v>
      </c>
      <c r="D63" s="88">
        <v>702</v>
      </c>
      <c r="E63" s="88">
        <v>76.5936</v>
      </c>
      <c r="F63" s="88"/>
      <c r="G63" s="88"/>
      <c r="H63" s="88"/>
      <c r="I63" s="88">
        <v>1095</v>
      </c>
      <c r="J63" s="88"/>
      <c r="K63" s="88"/>
      <c r="L63" s="88"/>
      <c r="M63" s="69" t="s">
        <v>578</v>
      </c>
    </row>
    <row r="64" ht="17" customHeight="1" spans="1:13">
      <c r="A64" s="86" t="s">
        <v>1065</v>
      </c>
      <c r="B64" s="87" t="s">
        <v>2191</v>
      </c>
      <c r="C64" s="88">
        <f t="shared" si="6"/>
        <v>1219.395243</v>
      </c>
      <c r="D64" s="88">
        <v>1114.912707</v>
      </c>
      <c r="E64" s="88">
        <v>101.440536</v>
      </c>
      <c r="F64" s="88">
        <v>3.042</v>
      </c>
      <c r="G64" s="88"/>
      <c r="H64" s="88"/>
      <c r="I64" s="88"/>
      <c r="J64" s="88"/>
      <c r="K64" s="88"/>
      <c r="L64" s="88"/>
      <c r="M64" s="69" t="s">
        <v>578</v>
      </c>
    </row>
    <row r="65" ht="17" customHeight="1" spans="1:13">
      <c r="A65" s="86" t="s">
        <v>1066</v>
      </c>
      <c r="B65" s="87" t="s">
        <v>679</v>
      </c>
      <c r="C65" s="88">
        <f t="shared" si="6"/>
        <v>538.18142</v>
      </c>
      <c r="D65" s="88">
        <v>125.5016</v>
      </c>
      <c r="E65" s="88">
        <v>147.67982</v>
      </c>
      <c r="F65" s="88">
        <v>265</v>
      </c>
      <c r="G65" s="88"/>
      <c r="H65" s="88"/>
      <c r="I65" s="88"/>
      <c r="J65" s="88"/>
      <c r="K65" s="88"/>
      <c r="L65" s="88"/>
      <c r="M65" s="69" t="s">
        <v>578</v>
      </c>
    </row>
    <row r="66" ht="17" customHeight="1" spans="1:13">
      <c r="A66" s="86" t="s">
        <v>1067</v>
      </c>
      <c r="B66" s="87" t="s">
        <v>680</v>
      </c>
      <c r="C66" s="88">
        <f t="shared" si="6"/>
        <v>1186.304528</v>
      </c>
      <c r="D66" s="88">
        <v>1053.39596</v>
      </c>
      <c r="E66" s="88">
        <v>110.765568</v>
      </c>
      <c r="F66" s="88">
        <v>7.143</v>
      </c>
      <c r="G66" s="88"/>
      <c r="H66" s="88"/>
      <c r="I66" s="88">
        <v>15</v>
      </c>
      <c r="J66" s="88"/>
      <c r="K66" s="88"/>
      <c r="L66" s="88"/>
      <c r="M66" s="69" t="s">
        <v>578</v>
      </c>
    </row>
    <row r="67" ht="17" customHeight="1" spans="1:13">
      <c r="A67" s="86" t="s">
        <v>1068</v>
      </c>
      <c r="B67" s="87" t="s">
        <v>681</v>
      </c>
      <c r="C67" s="88">
        <f t="shared" si="6"/>
        <v>3139.415345</v>
      </c>
      <c r="D67" s="88">
        <v>1383.2</v>
      </c>
      <c r="E67" s="88">
        <v>55.548</v>
      </c>
      <c r="F67" s="88">
        <v>38.867345</v>
      </c>
      <c r="G67" s="88"/>
      <c r="H67" s="88"/>
      <c r="I67" s="88">
        <v>1661.8</v>
      </c>
      <c r="J67" s="88"/>
      <c r="K67" s="88"/>
      <c r="L67" s="88"/>
      <c r="M67" s="69" t="s">
        <v>578</v>
      </c>
    </row>
    <row r="68" ht="17" customHeight="1" spans="1:13">
      <c r="A68" s="86" t="s">
        <v>1069</v>
      </c>
      <c r="B68" s="87" t="s">
        <v>682</v>
      </c>
      <c r="C68" s="88">
        <f t="shared" si="6"/>
        <v>565.79007</v>
      </c>
      <c r="D68" s="88">
        <v>565.79007</v>
      </c>
      <c r="E68" s="88"/>
      <c r="F68" s="88"/>
      <c r="G68" s="88"/>
      <c r="H68" s="88"/>
      <c r="I68" s="88"/>
      <c r="J68" s="88"/>
      <c r="K68" s="88"/>
      <c r="L68" s="88"/>
      <c r="M68" s="69" t="s">
        <v>578</v>
      </c>
    </row>
    <row r="69" ht="17" customHeight="1" spans="1:13">
      <c r="A69" s="86" t="s">
        <v>1070</v>
      </c>
      <c r="B69" s="87" t="s">
        <v>683</v>
      </c>
      <c r="C69" s="88">
        <f t="shared" si="6"/>
        <v>421.160813</v>
      </c>
      <c r="D69" s="88">
        <v>421.160813</v>
      </c>
      <c r="E69" s="88"/>
      <c r="F69" s="88"/>
      <c r="G69" s="88"/>
      <c r="H69" s="88"/>
      <c r="I69" s="88"/>
      <c r="J69" s="88"/>
      <c r="K69" s="88"/>
      <c r="L69" s="88"/>
      <c r="M69" s="69" t="s">
        <v>578</v>
      </c>
    </row>
    <row r="70" ht="17" customHeight="1" spans="1:13">
      <c r="A70" s="86" t="s">
        <v>1071</v>
      </c>
      <c r="B70" s="87" t="s">
        <v>2675</v>
      </c>
      <c r="C70" s="88">
        <f t="shared" si="6"/>
        <v>717.319034</v>
      </c>
      <c r="D70" s="88">
        <v>717.319034</v>
      </c>
      <c r="E70" s="88"/>
      <c r="F70" s="88"/>
      <c r="G70" s="88"/>
      <c r="H70" s="88"/>
      <c r="I70" s="88"/>
      <c r="J70" s="88"/>
      <c r="K70" s="88"/>
      <c r="L70" s="88"/>
      <c r="M70" s="69" t="s">
        <v>578</v>
      </c>
    </row>
    <row r="71" ht="17" customHeight="1" spans="1:13">
      <c r="A71" s="86" t="s">
        <v>1072</v>
      </c>
      <c r="B71" s="87" t="s">
        <v>685</v>
      </c>
      <c r="C71" s="88">
        <f t="shared" si="6"/>
        <v>636.014182</v>
      </c>
      <c r="D71" s="88">
        <v>636.014182</v>
      </c>
      <c r="E71" s="88"/>
      <c r="F71" s="88"/>
      <c r="G71" s="88"/>
      <c r="H71" s="88"/>
      <c r="I71" s="88"/>
      <c r="J71" s="88"/>
      <c r="K71" s="88"/>
      <c r="L71" s="88"/>
      <c r="M71" s="69" t="s">
        <v>578</v>
      </c>
    </row>
    <row r="72" ht="17" customHeight="1" spans="1:13">
      <c r="A72" s="86" t="s">
        <v>1073</v>
      </c>
      <c r="B72" s="90" t="s">
        <v>686</v>
      </c>
      <c r="C72" s="88">
        <f t="shared" si="6"/>
        <v>417.223786</v>
      </c>
      <c r="D72" s="88">
        <v>417.223786</v>
      </c>
      <c r="E72" s="88"/>
      <c r="F72" s="88"/>
      <c r="G72" s="88"/>
      <c r="H72" s="88"/>
      <c r="I72" s="88"/>
      <c r="J72" s="88"/>
      <c r="K72" s="88"/>
      <c r="L72" s="88"/>
      <c r="M72" s="69" t="s">
        <v>578</v>
      </c>
    </row>
    <row r="73" ht="17" customHeight="1" spans="1:13">
      <c r="A73" s="86" t="s">
        <v>1074</v>
      </c>
      <c r="B73" s="90" t="s">
        <v>687</v>
      </c>
      <c r="C73" s="88">
        <f t="shared" si="6"/>
        <v>448.758538</v>
      </c>
      <c r="D73" s="88">
        <v>448.434538</v>
      </c>
      <c r="E73" s="88"/>
      <c r="F73" s="88">
        <v>0.324</v>
      </c>
      <c r="G73" s="88"/>
      <c r="H73" s="88"/>
      <c r="I73" s="88"/>
      <c r="J73" s="88"/>
      <c r="K73" s="88"/>
      <c r="L73" s="88"/>
      <c r="M73" s="69" t="s">
        <v>578</v>
      </c>
    </row>
    <row r="74" ht="17" customHeight="1" spans="1:13">
      <c r="A74" s="86" t="s">
        <v>1075</v>
      </c>
      <c r="B74" s="90" t="s">
        <v>688</v>
      </c>
      <c r="C74" s="88">
        <f t="shared" si="6"/>
        <v>377.67</v>
      </c>
      <c r="D74" s="88">
        <v>377.67</v>
      </c>
      <c r="E74" s="88"/>
      <c r="F74" s="88"/>
      <c r="G74" s="88"/>
      <c r="H74" s="88"/>
      <c r="I74" s="88"/>
      <c r="J74" s="88"/>
      <c r="K74" s="88"/>
      <c r="L74" s="88"/>
      <c r="M74" s="69" t="s">
        <v>578</v>
      </c>
    </row>
    <row r="75" ht="17" customHeight="1" spans="1:13">
      <c r="A75" s="86" t="s">
        <v>1076</v>
      </c>
      <c r="B75" s="90" t="s">
        <v>689</v>
      </c>
      <c r="C75" s="88">
        <f t="shared" si="6"/>
        <v>386.035514</v>
      </c>
      <c r="D75" s="88">
        <v>386.035514</v>
      </c>
      <c r="E75" s="88"/>
      <c r="F75" s="88"/>
      <c r="G75" s="88"/>
      <c r="H75" s="88"/>
      <c r="I75" s="88"/>
      <c r="J75" s="88"/>
      <c r="K75" s="88"/>
      <c r="L75" s="88"/>
      <c r="M75" s="94" t="s">
        <v>578</v>
      </c>
    </row>
    <row r="76" ht="17" customHeight="1" spans="1:13">
      <c r="A76" s="86" t="s">
        <v>1077</v>
      </c>
      <c r="B76" s="90" t="s">
        <v>2193</v>
      </c>
      <c r="C76" s="88">
        <f t="shared" si="6"/>
        <v>1371.863082</v>
      </c>
      <c r="D76" s="88">
        <v>1358.889482</v>
      </c>
      <c r="E76" s="88">
        <v>0.17</v>
      </c>
      <c r="F76" s="88">
        <v>12.8036</v>
      </c>
      <c r="G76" s="88"/>
      <c r="H76" s="88"/>
      <c r="I76" s="88"/>
      <c r="J76" s="88"/>
      <c r="K76" s="88"/>
      <c r="L76" s="88"/>
      <c r="M76" s="69" t="s">
        <v>578</v>
      </c>
    </row>
    <row r="77" ht="17" customHeight="1" spans="1:13">
      <c r="A77" s="86" t="s">
        <v>1078</v>
      </c>
      <c r="B77" s="90" t="s">
        <v>691</v>
      </c>
      <c r="C77" s="88">
        <f t="shared" si="6"/>
        <v>385.396918</v>
      </c>
      <c r="D77" s="88">
        <v>385.396918</v>
      </c>
      <c r="E77" s="88"/>
      <c r="F77" s="88"/>
      <c r="G77" s="88"/>
      <c r="H77" s="88"/>
      <c r="I77" s="88"/>
      <c r="J77" s="88"/>
      <c r="K77" s="88"/>
      <c r="L77" s="88"/>
      <c r="M77" s="69" t="s">
        <v>578</v>
      </c>
    </row>
    <row r="78" ht="17" customHeight="1" spans="1:13">
      <c r="A78" s="86" t="s">
        <v>1079</v>
      </c>
      <c r="B78" s="90" t="s">
        <v>692</v>
      </c>
      <c r="C78" s="88">
        <f t="shared" si="6"/>
        <v>465.588374</v>
      </c>
      <c r="D78" s="88">
        <v>465.588374</v>
      </c>
      <c r="E78" s="88"/>
      <c r="F78" s="88"/>
      <c r="G78" s="88"/>
      <c r="H78" s="88"/>
      <c r="I78" s="88"/>
      <c r="J78" s="88"/>
      <c r="K78" s="88"/>
      <c r="L78" s="88"/>
      <c r="M78" s="69" t="s">
        <v>578</v>
      </c>
    </row>
    <row r="79" ht="17" customHeight="1" spans="1:13">
      <c r="A79" s="86" t="s">
        <v>1080</v>
      </c>
      <c r="B79" s="90" t="s">
        <v>693</v>
      </c>
      <c r="C79" s="88">
        <f t="shared" si="6"/>
        <v>558.40917</v>
      </c>
      <c r="D79" s="88">
        <v>558.40917</v>
      </c>
      <c r="E79" s="88"/>
      <c r="F79" s="88"/>
      <c r="G79" s="88"/>
      <c r="H79" s="88"/>
      <c r="I79" s="88"/>
      <c r="J79" s="88"/>
      <c r="K79" s="88"/>
      <c r="L79" s="88"/>
      <c r="M79" s="69" t="s">
        <v>578</v>
      </c>
    </row>
    <row r="80" ht="17" customHeight="1" spans="1:13">
      <c r="A80" s="86" t="s">
        <v>1081</v>
      </c>
      <c r="B80" s="90" t="s">
        <v>694</v>
      </c>
      <c r="C80" s="88">
        <f t="shared" si="6"/>
        <v>394.647664</v>
      </c>
      <c r="D80" s="88">
        <v>394.647664</v>
      </c>
      <c r="E80" s="88"/>
      <c r="F80" s="88"/>
      <c r="G80" s="88"/>
      <c r="H80" s="88"/>
      <c r="I80" s="88"/>
      <c r="J80" s="88"/>
      <c r="K80" s="88"/>
      <c r="L80" s="88"/>
      <c r="M80" s="69" t="s">
        <v>578</v>
      </c>
    </row>
    <row r="81" ht="17" customHeight="1" spans="1:13">
      <c r="A81" s="86" t="s">
        <v>1082</v>
      </c>
      <c r="B81" s="90" t="s">
        <v>695</v>
      </c>
      <c r="C81" s="88">
        <f t="shared" si="6"/>
        <v>39.130525</v>
      </c>
      <c r="D81" s="88">
        <v>39.130525</v>
      </c>
      <c r="E81" s="88"/>
      <c r="F81" s="88"/>
      <c r="G81" s="88"/>
      <c r="H81" s="88"/>
      <c r="I81" s="88"/>
      <c r="J81" s="88"/>
      <c r="K81" s="88"/>
      <c r="L81" s="88"/>
      <c r="M81" s="69" t="s">
        <v>578</v>
      </c>
    </row>
    <row r="82" ht="17" customHeight="1" spans="1:13">
      <c r="A82" s="86" t="s">
        <v>1083</v>
      </c>
      <c r="B82" s="87" t="s">
        <v>696</v>
      </c>
      <c r="C82" s="88">
        <f t="shared" si="6"/>
        <v>240.429066</v>
      </c>
      <c r="D82" s="88">
        <v>240.429066</v>
      </c>
      <c r="E82" s="88"/>
      <c r="F82" s="88"/>
      <c r="G82" s="88"/>
      <c r="H82" s="88"/>
      <c r="I82" s="88"/>
      <c r="J82" s="88"/>
      <c r="K82" s="88"/>
      <c r="L82" s="88"/>
      <c r="M82" s="69" t="s">
        <v>578</v>
      </c>
    </row>
    <row r="83" ht="17" customHeight="1" spans="1:13">
      <c r="A83" s="86" t="s">
        <v>1084</v>
      </c>
      <c r="B83" s="87" t="s">
        <v>697</v>
      </c>
      <c r="C83" s="88">
        <f t="shared" si="6"/>
        <v>4320.362915</v>
      </c>
      <c r="D83" s="88">
        <v>383.284827</v>
      </c>
      <c r="E83" s="88">
        <v>381.878088</v>
      </c>
      <c r="F83" s="88">
        <v>3253</v>
      </c>
      <c r="G83" s="88"/>
      <c r="H83" s="88"/>
      <c r="I83" s="88">
        <v>302.2</v>
      </c>
      <c r="J83" s="88"/>
      <c r="K83" s="88"/>
      <c r="L83" s="88"/>
      <c r="M83" s="69" t="s">
        <v>578</v>
      </c>
    </row>
    <row r="84" ht="17" customHeight="1" spans="1:13">
      <c r="A84" s="86" t="s">
        <v>1085</v>
      </c>
      <c r="B84" s="87" t="s">
        <v>698</v>
      </c>
      <c r="C84" s="88">
        <f t="shared" si="6"/>
        <v>139.311978</v>
      </c>
      <c r="D84" s="88">
        <v>87.524166</v>
      </c>
      <c r="E84" s="88">
        <v>40.887812</v>
      </c>
      <c r="F84" s="88">
        <v>10.5</v>
      </c>
      <c r="G84" s="88"/>
      <c r="H84" s="88"/>
      <c r="I84" s="88">
        <v>0.4</v>
      </c>
      <c r="J84" s="88"/>
      <c r="K84" s="88"/>
      <c r="L84" s="88"/>
      <c r="M84" s="69" t="s">
        <v>578</v>
      </c>
    </row>
    <row r="85" ht="17" customHeight="1" spans="1:13">
      <c r="A85" s="91"/>
      <c r="B85" s="84" t="s">
        <v>699</v>
      </c>
      <c r="C85" s="92">
        <f t="shared" ref="C85:L85" si="7">SUM(C86:C103)</f>
        <v>37359.287183</v>
      </c>
      <c r="D85" s="92">
        <f t="shared" si="7"/>
        <v>16280.305463</v>
      </c>
      <c r="E85" s="92">
        <f t="shared" si="7"/>
        <v>17918.006246</v>
      </c>
      <c r="F85" s="92">
        <f t="shared" si="7"/>
        <v>1770.494274</v>
      </c>
      <c r="G85" s="92">
        <f t="shared" si="7"/>
        <v>0</v>
      </c>
      <c r="H85" s="92">
        <f t="shared" si="7"/>
        <v>0</v>
      </c>
      <c r="I85" s="92">
        <f t="shared" si="7"/>
        <v>1190.4812</v>
      </c>
      <c r="J85" s="92">
        <f t="shared" si="7"/>
        <v>200</v>
      </c>
      <c r="K85" s="92">
        <f t="shared" si="7"/>
        <v>0</v>
      </c>
      <c r="L85" s="92">
        <f t="shared" si="7"/>
        <v>0</v>
      </c>
      <c r="M85" s="69" t="s">
        <v>578</v>
      </c>
    </row>
    <row r="86" ht="17" customHeight="1" spans="1:13">
      <c r="A86" s="86" t="s">
        <v>2194</v>
      </c>
      <c r="B86" s="87" t="s">
        <v>700</v>
      </c>
      <c r="C86" s="88">
        <f t="shared" ref="C86:C103" si="8">SUM(D86:L86)</f>
        <v>2511.691597</v>
      </c>
      <c r="D86" s="88">
        <v>1211.866963</v>
      </c>
      <c r="E86" s="88">
        <v>1016.20658</v>
      </c>
      <c r="F86" s="88">
        <v>281.088054</v>
      </c>
      <c r="G86" s="88"/>
      <c r="H86" s="88"/>
      <c r="I86" s="88">
        <v>2.53</v>
      </c>
      <c r="J86" s="88"/>
      <c r="K86" s="88"/>
      <c r="L86" s="88"/>
      <c r="M86" s="69" t="s">
        <v>578</v>
      </c>
    </row>
    <row r="87" ht="17" customHeight="1" spans="1:13">
      <c r="A87" s="86" t="s">
        <v>2195</v>
      </c>
      <c r="B87" s="87" t="s">
        <v>701</v>
      </c>
      <c r="C87" s="88">
        <f t="shared" si="8"/>
        <v>4923.084423</v>
      </c>
      <c r="D87" s="88">
        <v>2802.291397</v>
      </c>
      <c r="E87" s="88">
        <v>1414.751656</v>
      </c>
      <c r="F87" s="88">
        <v>397.54137</v>
      </c>
      <c r="G87" s="88"/>
      <c r="H87" s="88"/>
      <c r="I87" s="88">
        <v>308.5</v>
      </c>
      <c r="J87" s="88"/>
      <c r="K87" s="88"/>
      <c r="L87" s="88"/>
      <c r="M87" s="69" t="s">
        <v>578</v>
      </c>
    </row>
    <row r="88" ht="17" customHeight="1" spans="1:13">
      <c r="A88" s="86" t="s">
        <v>2196</v>
      </c>
      <c r="B88" s="87" t="s">
        <v>702</v>
      </c>
      <c r="C88" s="88">
        <f t="shared" si="8"/>
        <v>368.739681</v>
      </c>
      <c r="D88" s="88">
        <v>344.907985</v>
      </c>
      <c r="E88" s="88">
        <v>19.406996</v>
      </c>
      <c r="F88" s="88">
        <v>3.0135</v>
      </c>
      <c r="G88" s="88"/>
      <c r="H88" s="88"/>
      <c r="I88" s="88">
        <v>1.4112</v>
      </c>
      <c r="J88" s="88"/>
      <c r="K88" s="88"/>
      <c r="L88" s="88"/>
      <c r="M88" s="69" t="s">
        <v>578</v>
      </c>
    </row>
    <row r="89" ht="17" customHeight="1" spans="1:13">
      <c r="A89" s="86" t="s">
        <v>2197</v>
      </c>
      <c r="B89" s="87" t="s">
        <v>703</v>
      </c>
      <c r="C89" s="88">
        <f t="shared" si="8"/>
        <v>212.1021</v>
      </c>
      <c r="D89" s="88">
        <v>105.7053</v>
      </c>
      <c r="E89" s="88">
        <v>43.6753</v>
      </c>
      <c r="F89" s="88">
        <v>27.1215</v>
      </c>
      <c r="G89" s="88"/>
      <c r="H89" s="88"/>
      <c r="I89" s="88">
        <v>35.6</v>
      </c>
      <c r="J89" s="88"/>
      <c r="K89" s="88"/>
      <c r="L89" s="88"/>
      <c r="M89" s="69" t="s">
        <v>578</v>
      </c>
    </row>
    <row r="90" ht="17" customHeight="1" spans="1:13">
      <c r="A90" s="86" t="s">
        <v>2198</v>
      </c>
      <c r="B90" s="87" t="s">
        <v>704</v>
      </c>
      <c r="C90" s="88">
        <f t="shared" si="8"/>
        <v>10238.429154</v>
      </c>
      <c r="D90" s="88">
        <v>2466.376978</v>
      </c>
      <c r="E90" s="88">
        <v>7673.187596</v>
      </c>
      <c r="F90" s="88">
        <v>98.86458</v>
      </c>
      <c r="G90" s="88"/>
      <c r="H90" s="88"/>
      <c r="I90" s="88"/>
      <c r="J90" s="88"/>
      <c r="K90" s="88"/>
      <c r="L90" s="88"/>
      <c r="M90" s="69" t="s">
        <v>578</v>
      </c>
    </row>
    <row r="91" ht="17" customHeight="1" spans="1:13">
      <c r="A91" s="86" t="s">
        <v>2199</v>
      </c>
      <c r="B91" s="87" t="s">
        <v>705</v>
      </c>
      <c r="C91" s="88">
        <f t="shared" si="8"/>
        <v>1292.129373</v>
      </c>
      <c r="D91" s="88">
        <v>250.430554</v>
      </c>
      <c r="E91" s="88">
        <v>1038.006819</v>
      </c>
      <c r="F91" s="88">
        <v>3.042</v>
      </c>
      <c r="G91" s="88"/>
      <c r="H91" s="88"/>
      <c r="I91" s="88">
        <v>0.65</v>
      </c>
      <c r="J91" s="88"/>
      <c r="K91" s="88"/>
      <c r="L91" s="88"/>
      <c r="M91" s="69" t="s">
        <v>578</v>
      </c>
    </row>
    <row r="92" ht="17" customHeight="1" spans="1:13">
      <c r="A92" s="86" t="s">
        <v>2200</v>
      </c>
      <c r="B92" s="87" t="s">
        <v>706</v>
      </c>
      <c r="C92" s="88">
        <f t="shared" si="8"/>
        <v>771.393407</v>
      </c>
      <c r="D92" s="88">
        <v>45.607253</v>
      </c>
      <c r="E92" s="88">
        <v>725.786154</v>
      </c>
      <c r="F92" s="88"/>
      <c r="G92" s="88"/>
      <c r="H92" s="88"/>
      <c r="I92" s="88"/>
      <c r="J92" s="88"/>
      <c r="K92" s="88"/>
      <c r="L92" s="88"/>
      <c r="M92" s="69" t="s">
        <v>578</v>
      </c>
    </row>
    <row r="93" ht="17" customHeight="1" spans="1:13">
      <c r="A93" s="86" t="s">
        <v>2201</v>
      </c>
      <c r="B93" s="87" t="s">
        <v>707</v>
      </c>
      <c r="C93" s="88">
        <f t="shared" si="8"/>
        <v>139.970963</v>
      </c>
      <c r="D93" s="88">
        <v>126.763723</v>
      </c>
      <c r="E93" s="88">
        <v>12.90724</v>
      </c>
      <c r="F93" s="88"/>
      <c r="G93" s="88"/>
      <c r="H93" s="88"/>
      <c r="I93" s="88">
        <v>0.3</v>
      </c>
      <c r="J93" s="88"/>
      <c r="K93" s="88"/>
      <c r="L93" s="88"/>
      <c r="M93" s="69" t="s">
        <v>578</v>
      </c>
    </row>
    <row r="94" ht="17" customHeight="1" spans="1:13">
      <c r="A94" s="86" t="s">
        <v>2202</v>
      </c>
      <c r="B94" s="87" t="s">
        <v>2203</v>
      </c>
      <c r="C94" s="88">
        <f t="shared" si="8"/>
        <v>1042.332064</v>
      </c>
      <c r="D94" s="88">
        <v>672.218172</v>
      </c>
      <c r="E94" s="88">
        <v>307.777392</v>
      </c>
      <c r="F94" s="88">
        <v>57.2565</v>
      </c>
      <c r="G94" s="88"/>
      <c r="H94" s="88"/>
      <c r="I94" s="88">
        <v>5.08</v>
      </c>
      <c r="J94" s="88"/>
      <c r="K94" s="88"/>
      <c r="L94" s="88"/>
      <c r="M94" s="69" t="s">
        <v>578</v>
      </c>
    </row>
    <row r="95" ht="17" customHeight="1" spans="1:13">
      <c r="A95" s="86" t="s">
        <v>2204</v>
      </c>
      <c r="B95" s="87" t="s">
        <v>709</v>
      </c>
      <c r="C95" s="88">
        <f t="shared" si="8"/>
        <v>1656.48391</v>
      </c>
      <c r="D95" s="88">
        <v>674.959308</v>
      </c>
      <c r="E95" s="88">
        <v>807.241102</v>
      </c>
      <c r="F95" s="88">
        <v>172.7835</v>
      </c>
      <c r="G95" s="88"/>
      <c r="H95" s="88"/>
      <c r="I95" s="88">
        <v>1.5</v>
      </c>
      <c r="J95" s="88"/>
      <c r="K95" s="88"/>
      <c r="L95" s="88"/>
      <c r="M95" s="69" t="s">
        <v>578</v>
      </c>
    </row>
    <row r="96" ht="17" customHeight="1" spans="1:13">
      <c r="A96" s="86" t="s">
        <v>2205</v>
      </c>
      <c r="B96" s="87" t="s">
        <v>710</v>
      </c>
      <c r="C96" s="88">
        <f t="shared" si="8"/>
        <v>713.705826</v>
      </c>
      <c r="D96" s="88">
        <v>377.46304</v>
      </c>
      <c r="E96" s="88">
        <v>48.131002</v>
      </c>
      <c r="F96" s="88">
        <v>124.541784</v>
      </c>
      <c r="G96" s="88"/>
      <c r="H96" s="88"/>
      <c r="I96" s="88">
        <v>163.57</v>
      </c>
      <c r="J96" s="88"/>
      <c r="K96" s="88"/>
      <c r="L96" s="88"/>
      <c r="M96" s="69" t="s">
        <v>578</v>
      </c>
    </row>
    <row r="97" ht="17" customHeight="1" spans="1:13">
      <c r="A97" s="86" t="s">
        <v>2206</v>
      </c>
      <c r="B97" s="87" t="s">
        <v>2207</v>
      </c>
      <c r="C97" s="88">
        <f t="shared" si="8"/>
        <v>3282.178172</v>
      </c>
      <c r="D97" s="88">
        <v>2332.41022</v>
      </c>
      <c r="E97" s="88">
        <v>528.298132</v>
      </c>
      <c r="F97" s="88">
        <v>412.46982</v>
      </c>
      <c r="G97" s="88"/>
      <c r="H97" s="88"/>
      <c r="I97" s="88">
        <v>9</v>
      </c>
      <c r="J97" s="88"/>
      <c r="K97" s="88"/>
      <c r="L97" s="88"/>
      <c r="M97" s="69" t="s">
        <v>578</v>
      </c>
    </row>
    <row r="98" ht="17" customHeight="1" spans="1:13">
      <c r="A98" s="86" t="s">
        <v>2208</v>
      </c>
      <c r="B98" s="87" t="s">
        <v>2209</v>
      </c>
      <c r="C98" s="88">
        <f t="shared" si="8"/>
        <v>759.80127</v>
      </c>
      <c r="D98" s="88">
        <v>376.605453</v>
      </c>
      <c r="E98" s="88">
        <v>137.064817</v>
      </c>
      <c r="F98" s="88">
        <v>45.231</v>
      </c>
      <c r="G98" s="88"/>
      <c r="H98" s="88"/>
      <c r="I98" s="88">
        <v>0.9</v>
      </c>
      <c r="J98" s="88">
        <v>200</v>
      </c>
      <c r="K98" s="88"/>
      <c r="L98" s="88"/>
      <c r="M98" s="69" t="s">
        <v>578</v>
      </c>
    </row>
    <row r="99" ht="17" customHeight="1" spans="1:13">
      <c r="A99" s="86" t="s">
        <v>2210</v>
      </c>
      <c r="B99" s="87" t="s">
        <v>713</v>
      </c>
      <c r="C99" s="88">
        <f t="shared" si="8"/>
        <v>1900.757813</v>
      </c>
      <c r="D99" s="88">
        <v>1098.293271</v>
      </c>
      <c r="E99" s="88">
        <v>152.024706</v>
      </c>
      <c r="F99" s="88">
        <v>37.399836</v>
      </c>
      <c r="G99" s="88"/>
      <c r="H99" s="88"/>
      <c r="I99" s="88">
        <v>613.04</v>
      </c>
      <c r="J99" s="88"/>
      <c r="K99" s="88"/>
      <c r="L99" s="88"/>
      <c r="M99" s="69" t="s">
        <v>578</v>
      </c>
    </row>
    <row r="100" ht="17" customHeight="1" spans="1:13">
      <c r="A100" s="86" t="s">
        <v>2211</v>
      </c>
      <c r="B100" s="87" t="s">
        <v>714</v>
      </c>
      <c r="C100" s="88">
        <f t="shared" si="8"/>
        <v>533.796521</v>
      </c>
      <c r="D100" s="88">
        <v>400.336263</v>
      </c>
      <c r="E100" s="88">
        <v>75.203758</v>
      </c>
      <c r="F100" s="88">
        <v>57.2565</v>
      </c>
      <c r="G100" s="88"/>
      <c r="H100" s="88"/>
      <c r="I100" s="88">
        <v>1</v>
      </c>
      <c r="J100" s="88"/>
      <c r="K100" s="88"/>
      <c r="L100" s="88"/>
      <c r="M100" s="69" t="s">
        <v>578</v>
      </c>
    </row>
    <row r="101" ht="17" customHeight="1" spans="1:13">
      <c r="A101" s="86" t="s">
        <v>2212</v>
      </c>
      <c r="B101" s="87" t="s">
        <v>715</v>
      </c>
      <c r="C101" s="88">
        <f t="shared" si="8"/>
        <v>4094.315689</v>
      </c>
      <c r="D101" s="88">
        <v>970.942835</v>
      </c>
      <c r="E101" s="88">
        <v>3103.588204</v>
      </c>
      <c r="F101" s="88">
        <v>9.78465</v>
      </c>
      <c r="G101" s="88"/>
      <c r="H101" s="88"/>
      <c r="I101" s="88">
        <v>10</v>
      </c>
      <c r="J101" s="88"/>
      <c r="K101" s="88"/>
      <c r="L101" s="88"/>
      <c r="M101" s="69" t="s">
        <v>578</v>
      </c>
    </row>
    <row r="102" ht="17" customHeight="1" spans="1:13">
      <c r="A102" s="86" t="s">
        <v>2213</v>
      </c>
      <c r="B102" s="87" t="s">
        <v>716</v>
      </c>
      <c r="C102" s="88">
        <f t="shared" si="8"/>
        <v>652.514293</v>
      </c>
      <c r="D102" s="88">
        <v>435.921849</v>
      </c>
      <c r="E102" s="88">
        <v>196.178944</v>
      </c>
      <c r="F102" s="88">
        <v>3.0135</v>
      </c>
      <c r="G102" s="88"/>
      <c r="H102" s="88"/>
      <c r="I102" s="88">
        <v>17.4</v>
      </c>
      <c r="J102" s="88"/>
      <c r="K102" s="88"/>
      <c r="L102" s="88"/>
      <c r="M102" s="69" t="s">
        <v>578</v>
      </c>
    </row>
    <row r="103" ht="17" customHeight="1" spans="1:13">
      <c r="A103" s="86" t="s">
        <v>2214</v>
      </c>
      <c r="B103" s="87" t="s">
        <v>717</v>
      </c>
      <c r="C103" s="88">
        <f t="shared" si="8"/>
        <v>2265.860927</v>
      </c>
      <c r="D103" s="88">
        <v>1587.204899</v>
      </c>
      <c r="E103" s="88">
        <v>618.569848</v>
      </c>
      <c r="F103" s="88">
        <v>40.08618</v>
      </c>
      <c r="G103" s="88"/>
      <c r="H103" s="88"/>
      <c r="I103" s="88">
        <v>20</v>
      </c>
      <c r="J103" s="88"/>
      <c r="K103" s="88"/>
      <c r="L103" s="88"/>
      <c r="M103" s="69" t="s">
        <v>578</v>
      </c>
    </row>
    <row r="104" ht="17" customHeight="1" spans="1:13">
      <c r="A104" s="91"/>
      <c r="B104" s="84" t="s">
        <v>718</v>
      </c>
      <c r="C104" s="92">
        <f t="shared" ref="C104:L104" si="9">SUM(C105:C108)</f>
        <v>13121.080681</v>
      </c>
      <c r="D104" s="92">
        <f t="shared" si="9"/>
        <v>9085.595002</v>
      </c>
      <c r="E104" s="92">
        <f t="shared" si="9"/>
        <v>2833.487059</v>
      </c>
      <c r="F104" s="92">
        <f t="shared" si="9"/>
        <v>541.04862</v>
      </c>
      <c r="G104" s="92">
        <f t="shared" si="9"/>
        <v>0</v>
      </c>
      <c r="H104" s="92">
        <f t="shared" si="9"/>
        <v>0</v>
      </c>
      <c r="I104" s="92">
        <f t="shared" si="9"/>
        <v>660.95</v>
      </c>
      <c r="J104" s="92">
        <f t="shared" si="9"/>
        <v>0</v>
      </c>
      <c r="K104" s="92">
        <f t="shared" si="9"/>
        <v>0</v>
      </c>
      <c r="L104" s="92">
        <f t="shared" si="9"/>
        <v>0</v>
      </c>
      <c r="M104" s="69" t="s">
        <v>578</v>
      </c>
    </row>
    <row r="105" ht="17" customHeight="1" spans="1:13">
      <c r="A105" s="86" t="s">
        <v>719</v>
      </c>
      <c r="B105" s="87" t="s">
        <v>1086</v>
      </c>
      <c r="C105" s="88">
        <f t="shared" ref="C105:C108" si="10">SUM(D105:L105)</f>
        <v>12694.24997</v>
      </c>
      <c r="D105" s="88">
        <v>8901.547847</v>
      </c>
      <c r="E105" s="88">
        <v>2767.093503</v>
      </c>
      <c r="F105" s="88">
        <v>541.04862</v>
      </c>
      <c r="G105" s="88"/>
      <c r="H105" s="88"/>
      <c r="I105" s="88">
        <v>484.56</v>
      </c>
      <c r="J105" s="88"/>
      <c r="K105" s="88"/>
      <c r="L105" s="88"/>
      <c r="M105" s="69" t="s">
        <v>578</v>
      </c>
    </row>
    <row r="106" ht="17" customHeight="1" spans="1:13">
      <c r="A106" s="89" t="s">
        <v>721</v>
      </c>
      <c r="B106" s="90" t="s">
        <v>2215</v>
      </c>
      <c r="C106" s="88">
        <f t="shared" si="10"/>
        <v>50</v>
      </c>
      <c r="D106" s="88"/>
      <c r="E106" s="88">
        <v>50</v>
      </c>
      <c r="F106" s="88"/>
      <c r="G106" s="88"/>
      <c r="H106" s="88"/>
      <c r="I106" s="88"/>
      <c r="J106" s="88"/>
      <c r="K106" s="88"/>
      <c r="L106" s="88"/>
      <c r="M106" s="69" t="s">
        <v>578</v>
      </c>
    </row>
    <row r="107" ht="17" customHeight="1" spans="1:13">
      <c r="A107" s="89" t="s">
        <v>723</v>
      </c>
      <c r="B107" s="90" t="s">
        <v>2216</v>
      </c>
      <c r="C107" s="88">
        <f t="shared" si="10"/>
        <v>175.39</v>
      </c>
      <c r="D107" s="88"/>
      <c r="E107" s="88"/>
      <c r="F107" s="88"/>
      <c r="G107" s="88"/>
      <c r="H107" s="88"/>
      <c r="I107" s="88">
        <v>175.39</v>
      </c>
      <c r="J107" s="88"/>
      <c r="K107" s="88"/>
      <c r="L107" s="88"/>
      <c r="M107" s="69" t="s">
        <v>578</v>
      </c>
    </row>
    <row r="108" ht="17" customHeight="1" spans="1:13">
      <c r="A108" s="86" t="s">
        <v>725</v>
      </c>
      <c r="B108" s="87" t="s">
        <v>726</v>
      </c>
      <c r="C108" s="88">
        <f t="shared" si="10"/>
        <v>201.440711</v>
      </c>
      <c r="D108" s="88">
        <v>184.047155</v>
      </c>
      <c r="E108" s="88">
        <v>16.393556</v>
      </c>
      <c r="F108" s="88"/>
      <c r="G108" s="88"/>
      <c r="H108" s="88"/>
      <c r="I108" s="88">
        <v>1</v>
      </c>
      <c r="J108" s="88"/>
      <c r="K108" s="88"/>
      <c r="L108" s="88"/>
      <c r="M108" s="69" t="s">
        <v>578</v>
      </c>
    </row>
    <row r="109" ht="17" customHeight="1" spans="1:13">
      <c r="A109" s="91"/>
      <c r="B109" s="84" t="s">
        <v>727</v>
      </c>
      <c r="C109" s="92">
        <f t="shared" ref="C109:L109" si="11">SUM(C110:C117)</f>
        <v>7533.996939</v>
      </c>
      <c r="D109" s="92">
        <f t="shared" si="11"/>
        <v>3163.784547</v>
      </c>
      <c r="E109" s="92">
        <f t="shared" si="11"/>
        <v>1196.223852</v>
      </c>
      <c r="F109" s="92">
        <f t="shared" si="11"/>
        <v>590.08854</v>
      </c>
      <c r="G109" s="92">
        <f t="shared" si="11"/>
        <v>0</v>
      </c>
      <c r="H109" s="92">
        <f t="shared" si="11"/>
        <v>0</v>
      </c>
      <c r="I109" s="92">
        <f t="shared" si="11"/>
        <v>53.4</v>
      </c>
      <c r="J109" s="92">
        <f t="shared" si="11"/>
        <v>2530.5</v>
      </c>
      <c r="K109" s="92">
        <f t="shared" si="11"/>
        <v>0</v>
      </c>
      <c r="L109" s="92">
        <f t="shared" si="11"/>
        <v>0</v>
      </c>
      <c r="M109" s="69" t="s">
        <v>578</v>
      </c>
    </row>
    <row r="110" ht="17" customHeight="1" spans="1:13">
      <c r="A110" s="86" t="s">
        <v>2217</v>
      </c>
      <c r="B110" s="87" t="s">
        <v>728</v>
      </c>
      <c r="C110" s="88">
        <f t="shared" ref="C110:C117" si="12">SUM(D110:L110)</f>
        <v>522.720461</v>
      </c>
      <c r="D110" s="88">
        <v>379.026387</v>
      </c>
      <c r="E110" s="88">
        <v>66.219204</v>
      </c>
      <c r="F110" s="88">
        <v>39.47487</v>
      </c>
      <c r="G110" s="88"/>
      <c r="H110" s="88"/>
      <c r="I110" s="88">
        <v>7.5</v>
      </c>
      <c r="J110" s="88">
        <v>30.5</v>
      </c>
      <c r="K110" s="88"/>
      <c r="L110" s="88"/>
      <c r="M110" s="69" t="s">
        <v>578</v>
      </c>
    </row>
    <row r="111" ht="17" customHeight="1" spans="1:13">
      <c r="A111" s="86" t="s">
        <v>2218</v>
      </c>
      <c r="B111" s="87" t="s">
        <v>729</v>
      </c>
      <c r="C111" s="88">
        <f t="shared" si="12"/>
        <v>376.77459</v>
      </c>
      <c r="D111" s="88">
        <v>208.122238</v>
      </c>
      <c r="E111" s="88">
        <v>33.681392</v>
      </c>
      <c r="F111" s="88">
        <v>134.97096</v>
      </c>
      <c r="G111" s="88"/>
      <c r="H111" s="88"/>
      <c r="I111" s="88"/>
      <c r="J111" s="88"/>
      <c r="K111" s="88"/>
      <c r="L111" s="88"/>
      <c r="M111" s="69" t="s">
        <v>578</v>
      </c>
    </row>
    <row r="112" ht="17" customHeight="1" spans="1:13">
      <c r="A112" s="86" t="s">
        <v>2219</v>
      </c>
      <c r="B112" s="87" t="s">
        <v>730</v>
      </c>
      <c r="C112" s="88">
        <f t="shared" si="12"/>
        <v>544.00277</v>
      </c>
      <c r="D112" s="88">
        <v>504.722768</v>
      </c>
      <c r="E112" s="88">
        <v>39.280002</v>
      </c>
      <c r="F112" s="88"/>
      <c r="G112" s="88"/>
      <c r="H112" s="88"/>
      <c r="I112" s="88"/>
      <c r="J112" s="88"/>
      <c r="K112" s="88"/>
      <c r="L112" s="88"/>
      <c r="M112" s="69" t="s">
        <v>578</v>
      </c>
    </row>
    <row r="113" ht="17" customHeight="1" spans="1:13">
      <c r="A113" s="86" t="s">
        <v>2220</v>
      </c>
      <c r="B113" s="87" t="s">
        <v>731</v>
      </c>
      <c r="C113" s="88">
        <f t="shared" si="12"/>
        <v>463.959602</v>
      </c>
      <c r="D113" s="88">
        <v>306.997868</v>
      </c>
      <c r="E113" s="88">
        <v>37.947834</v>
      </c>
      <c r="F113" s="88">
        <v>118.1139</v>
      </c>
      <c r="G113" s="88"/>
      <c r="H113" s="88"/>
      <c r="I113" s="88">
        <v>0.9</v>
      </c>
      <c r="J113" s="88"/>
      <c r="K113" s="88"/>
      <c r="L113" s="88"/>
      <c r="M113" s="69" t="s">
        <v>578</v>
      </c>
    </row>
    <row r="114" ht="17" customHeight="1" spans="1:13">
      <c r="A114" s="86" t="s">
        <v>2221</v>
      </c>
      <c r="B114" s="87" t="s">
        <v>732</v>
      </c>
      <c r="C114" s="88">
        <f t="shared" si="12"/>
        <v>1024.967907</v>
      </c>
      <c r="D114" s="88">
        <v>515.914291</v>
      </c>
      <c r="E114" s="88">
        <v>509.053616</v>
      </c>
      <c r="F114" s="88"/>
      <c r="G114" s="88"/>
      <c r="H114" s="88"/>
      <c r="I114" s="88"/>
      <c r="J114" s="88"/>
      <c r="K114" s="88"/>
      <c r="L114" s="88"/>
      <c r="M114" s="94" t="s">
        <v>578</v>
      </c>
    </row>
    <row r="115" ht="17" customHeight="1" spans="1:13">
      <c r="A115" s="86" t="s">
        <v>2222</v>
      </c>
      <c r="B115" s="87" t="s">
        <v>733</v>
      </c>
      <c r="C115" s="88">
        <f t="shared" si="12"/>
        <v>993.673988</v>
      </c>
      <c r="D115" s="88">
        <v>562.412892</v>
      </c>
      <c r="E115" s="88">
        <v>362.153096</v>
      </c>
      <c r="F115" s="88">
        <v>24.108</v>
      </c>
      <c r="G115" s="88"/>
      <c r="H115" s="88"/>
      <c r="I115" s="88">
        <v>45</v>
      </c>
      <c r="J115" s="88"/>
      <c r="K115" s="88"/>
      <c r="L115" s="88"/>
      <c r="M115" s="69" t="s">
        <v>578</v>
      </c>
    </row>
    <row r="116" ht="17" customHeight="1" spans="1:13">
      <c r="A116" s="86" t="s">
        <v>2223</v>
      </c>
      <c r="B116" s="87" t="s">
        <v>734</v>
      </c>
      <c r="C116" s="88">
        <f t="shared" si="12"/>
        <v>3122.682394</v>
      </c>
      <c r="D116" s="88">
        <v>440.429072</v>
      </c>
      <c r="E116" s="88">
        <v>116.698012</v>
      </c>
      <c r="F116" s="88">
        <v>65.55531</v>
      </c>
      <c r="G116" s="88"/>
      <c r="H116" s="88"/>
      <c r="I116" s="88"/>
      <c r="J116" s="88">
        <v>2500</v>
      </c>
      <c r="K116" s="88"/>
      <c r="L116" s="88"/>
      <c r="M116" s="69" t="s">
        <v>578</v>
      </c>
    </row>
    <row r="117" ht="17" customHeight="1" spans="1:13">
      <c r="A117" s="86" t="s">
        <v>2224</v>
      </c>
      <c r="B117" s="87" t="s">
        <v>735</v>
      </c>
      <c r="C117" s="88">
        <f t="shared" si="12"/>
        <v>485.215227</v>
      </c>
      <c r="D117" s="88">
        <v>246.159031</v>
      </c>
      <c r="E117" s="88">
        <v>31.190696</v>
      </c>
      <c r="F117" s="88">
        <v>207.8655</v>
      </c>
      <c r="G117" s="88"/>
      <c r="H117" s="88"/>
      <c r="I117" s="88"/>
      <c r="J117" s="88"/>
      <c r="K117" s="88"/>
      <c r="L117" s="88"/>
      <c r="M117" s="69" t="s">
        <v>578</v>
      </c>
    </row>
    <row r="118" ht="17" customHeight="1" spans="1:13">
      <c r="A118" s="91"/>
      <c r="B118" s="84" t="s">
        <v>736</v>
      </c>
      <c r="C118" s="92">
        <f t="shared" ref="C118:L118" si="13">SUM(C119:C185)</f>
        <v>148869.46939</v>
      </c>
      <c r="D118" s="92">
        <f t="shared" si="13"/>
        <v>118871.15198</v>
      </c>
      <c r="E118" s="92">
        <f t="shared" si="13"/>
        <v>17184.011428</v>
      </c>
      <c r="F118" s="92">
        <f t="shared" si="13"/>
        <v>7166.318182</v>
      </c>
      <c r="G118" s="92">
        <f t="shared" si="13"/>
        <v>0</v>
      </c>
      <c r="H118" s="92">
        <f t="shared" si="13"/>
        <v>0</v>
      </c>
      <c r="I118" s="92">
        <f t="shared" si="13"/>
        <v>5527.9878</v>
      </c>
      <c r="J118" s="92">
        <f t="shared" si="13"/>
        <v>0</v>
      </c>
      <c r="K118" s="92">
        <f t="shared" si="13"/>
        <v>0</v>
      </c>
      <c r="L118" s="92">
        <f t="shared" si="13"/>
        <v>120</v>
      </c>
      <c r="M118" s="69" t="s">
        <v>578</v>
      </c>
    </row>
    <row r="119" ht="17" customHeight="1" spans="1:13">
      <c r="A119" s="86" t="s">
        <v>1087</v>
      </c>
      <c r="B119" s="87" t="s">
        <v>737</v>
      </c>
      <c r="C119" s="88">
        <f t="shared" ref="C119:C182" si="14">SUM(D119:L119)</f>
        <v>383.315409</v>
      </c>
      <c r="D119" s="88">
        <v>280.892009</v>
      </c>
      <c r="E119" s="88">
        <v>42.10453</v>
      </c>
      <c r="F119" s="88">
        <v>60.31887</v>
      </c>
      <c r="G119" s="88"/>
      <c r="H119" s="88"/>
      <c r="I119" s="88"/>
      <c r="J119" s="88"/>
      <c r="K119" s="88"/>
      <c r="L119" s="88"/>
      <c r="M119" s="69" t="s">
        <v>578</v>
      </c>
    </row>
    <row r="120" ht="17" customHeight="1" spans="1:13">
      <c r="A120" s="86" t="s">
        <v>1088</v>
      </c>
      <c r="B120" s="87" t="s">
        <v>738</v>
      </c>
      <c r="C120" s="88">
        <f t="shared" si="14"/>
        <v>2125.557169</v>
      </c>
      <c r="D120" s="88">
        <v>364.127557</v>
      </c>
      <c r="E120" s="88">
        <v>996.593742</v>
      </c>
      <c r="F120" s="88">
        <v>101.83587</v>
      </c>
      <c r="G120" s="88"/>
      <c r="H120" s="88"/>
      <c r="I120" s="88">
        <v>663</v>
      </c>
      <c r="J120" s="88"/>
      <c r="K120" s="88"/>
      <c r="L120" s="88"/>
      <c r="M120" s="69" t="s">
        <v>578</v>
      </c>
    </row>
    <row r="121" ht="17" customHeight="1" spans="1:13">
      <c r="A121" s="86" t="s">
        <v>1089</v>
      </c>
      <c r="B121" s="87" t="s">
        <v>739</v>
      </c>
      <c r="C121" s="88">
        <f t="shared" si="14"/>
        <v>388.358238</v>
      </c>
      <c r="D121" s="88">
        <v>317.955954</v>
      </c>
      <c r="E121" s="88">
        <v>57.642284</v>
      </c>
      <c r="F121" s="88">
        <v>11.76</v>
      </c>
      <c r="G121" s="88"/>
      <c r="H121" s="88"/>
      <c r="I121" s="88">
        <v>1</v>
      </c>
      <c r="J121" s="88"/>
      <c r="K121" s="88"/>
      <c r="L121" s="88"/>
      <c r="M121" s="69" t="s">
        <v>578</v>
      </c>
    </row>
    <row r="122" ht="17" customHeight="1" spans="1:13">
      <c r="A122" s="86" t="s">
        <v>1091</v>
      </c>
      <c r="B122" s="87" t="s">
        <v>740</v>
      </c>
      <c r="C122" s="88">
        <f t="shared" si="14"/>
        <v>428.270902</v>
      </c>
      <c r="D122" s="88">
        <v>341.682344</v>
      </c>
      <c r="E122" s="88">
        <v>53.440058</v>
      </c>
      <c r="F122" s="88">
        <v>33.1485</v>
      </c>
      <c r="G122" s="88"/>
      <c r="H122" s="88"/>
      <c r="I122" s="88"/>
      <c r="J122" s="88"/>
      <c r="K122" s="88"/>
      <c r="L122" s="88"/>
      <c r="M122" s="69" t="s">
        <v>578</v>
      </c>
    </row>
    <row r="123" ht="17" customHeight="1" spans="1:13">
      <c r="A123" s="86" t="s">
        <v>1092</v>
      </c>
      <c r="B123" s="87" t="s">
        <v>741</v>
      </c>
      <c r="C123" s="88">
        <f t="shared" si="14"/>
        <v>141.67911</v>
      </c>
      <c r="D123" s="88">
        <v>119.884739</v>
      </c>
      <c r="E123" s="88">
        <v>12.753871</v>
      </c>
      <c r="F123" s="88">
        <v>9.0405</v>
      </c>
      <c r="G123" s="88"/>
      <c r="H123" s="88"/>
      <c r="I123" s="88"/>
      <c r="J123" s="88"/>
      <c r="K123" s="88"/>
      <c r="L123" s="88"/>
      <c r="M123" s="69" t="s">
        <v>578</v>
      </c>
    </row>
    <row r="124" ht="17" customHeight="1" spans="1:13">
      <c r="A124" s="86" t="s">
        <v>1093</v>
      </c>
      <c r="B124" s="87" t="s">
        <v>742</v>
      </c>
      <c r="C124" s="88">
        <f t="shared" si="14"/>
        <v>390.393842</v>
      </c>
      <c r="D124" s="88">
        <v>271.476918</v>
      </c>
      <c r="E124" s="88">
        <v>70.700924</v>
      </c>
      <c r="F124" s="88">
        <v>48.216</v>
      </c>
      <c r="G124" s="88"/>
      <c r="H124" s="88"/>
      <c r="I124" s="88"/>
      <c r="J124" s="88"/>
      <c r="K124" s="88"/>
      <c r="L124" s="88"/>
      <c r="M124" s="69" t="s">
        <v>578</v>
      </c>
    </row>
    <row r="125" ht="17" customHeight="1" spans="1:13">
      <c r="A125" s="86" t="s">
        <v>1094</v>
      </c>
      <c r="B125" s="87" t="s">
        <v>743</v>
      </c>
      <c r="C125" s="88">
        <f t="shared" si="14"/>
        <v>1043.509753</v>
      </c>
      <c r="D125" s="88">
        <v>741.704739</v>
      </c>
      <c r="E125" s="88">
        <v>199.317514</v>
      </c>
      <c r="F125" s="88">
        <v>102.4875</v>
      </c>
      <c r="G125" s="88"/>
      <c r="H125" s="88"/>
      <c r="I125" s="88"/>
      <c r="J125" s="88"/>
      <c r="K125" s="88"/>
      <c r="L125" s="88"/>
      <c r="M125" s="69" t="s">
        <v>578</v>
      </c>
    </row>
    <row r="126" ht="17" customHeight="1" spans="1:13">
      <c r="A126" s="86" t="s">
        <v>1095</v>
      </c>
      <c r="B126" s="87" t="s">
        <v>744</v>
      </c>
      <c r="C126" s="88">
        <f t="shared" si="14"/>
        <v>173.591753</v>
      </c>
      <c r="D126" s="88">
        <v>141.562929</v>
      </c>
      <c r="E126" s="88">
        <v>13.847824</v>
      </c>
      <c r="F126" s="88">
        <v>18.081</v>
      </c>
      <c r="G126" s="88"/>
      <c r="H126" s="88"/>
      <c r="I126" s="88">
        <v>0.1</v>
      </c>
      <c r="J126" s="88"/>
      <c r="K126" s="88"/>
      <c r="L126" s="88"/>
      <c r="M126" s="69" t="s">
        <v>578</v>
      </c>
    </row>
    <row r="127" ht="17" customHeight="1" spans="1:13">
      <c r="A127" s="86" t="s">
        <v>1096</v>
      </c>
      <c r="B127" s="87" t="s">
        <v>745</v>
      </c>
      <c r="C127" s="88">
        <f t="shared" si="14"/>
        <v>749.069164</v>
      </c>
      <c r="D127" s="88">
        <v>269.535924</v>
      </c>
      <c r="E127" s="88">
        <v>463.50624</v>
      </c>
      <c r="F127" s="88">
        <v>6.027</v>
      </c>
      <c r="G127" s="88"/>
      <c r="H127" s="88"/>
      <c r="I127" s="88">
        <v>10</v>
      </c>
      <c r="J127" s="88"/>
      <c r="K127" s="88"/>
      <c r="L127" s="88"/>
      <c r="M127" s="69" t="s">
        <v>578</v>
      </c>
    </row>
    <row r="128" ht="17" customHeight="1" spans="1:13">
      <c r="A128" s="86" t="s">
        <v>1097</v>
      </c>
      <c r="B128" s="87" t="s">
        <v>746</v>
      </c>
      <c r="C128" s="88">
        <f t="shared" si="14"/>
        <v>3107.919889</v>
      </c>
      <c r="D128" s="88">
        <v>1496.28226</v>
      </c>
      <c r="E128" s="88">
        <v>1475.043129</v>
      </c>
      <c r="F128" s="88">
        <v>130.5945</v>
      </c>
      <c r="G128" s="88"/>
      <c r="H128" s="88"/>
      <c r="I128" s="88">
        <v>6</v>
      </c>
      <c r="J128" s="88"/>
      <c r="K128" s="88"/>
      <c r="L128" s="88"/>
      <c r="M128" s="69" t="s">
        <v>578</v>
      </c>
    </row>
    <row r="129" ht="17" customHeight="1" spans="1:13">
      <c r="A129" s="86" t="s">
        <v>1098</v>
      </c>
      <c r="B129" s="87" t="s">
        <v>747</v>
      </c>
      <c r="C129" s="88">
        <f t="shared" si="14"/>
        <v>3554.98443</v>
      </c>
      <c r="D129" s="88">
        <v>332.143794</v>
      </c>
      <c r="E129" s="88">
        <v>36.625356</v>
      </c>
      <c r="F129" s="88">
        <v>74.73528</v>
      </c>
      <c r="G129" s="88"/>
      <c r="H129" s="88"/>
      <c r="I129" s="88">
        <v>3111.48</v>
      </c>
      <c r="J129" s="88"/>
      <c r="K129" s="88"/>
      <c r="L129" s="88"/>
      <c r="M129" s="69" t="s">
        <v>578</v>
      </c>
    </row>
    <row r="130" ht="17" customHeight="1" spans="1:13">
      <c r="A130" s="86" t="s">
        <v>1099</v>
      </c>
      <c r="B130" s="87" t="s">
        <v>748</v>
      </c>
      <c r="C130" s="88">
        <f t="shared" si="14"/>
        <v>1009.913407</v>
      </c>
      <c r="D130" s="88">
        <v>145.028627</v>
      </c>
      <c r="E130" s="88">
        <v>11.65078</v>
      </c>
      <c r="F130" s="88">
        <v>18.234</v>
      </c>
      <c r="G130" s="88"/>
      <c r="H130" s="88"/>
      <c r="I130" s="88">
        <v>835</v>
      </c>
      <c r="J130" s="88"/>
      <c r="K130" s="88"/>
      <c r="L130" s="88"/>
      <c r="M130" s="69" t="s">
        <v>578</v>
      </c>
    </row>
    <row r="131" ht="17" customHeight="1" spans="1:13">
      <c r="A131" s="86" t="s">
        <v>1100</v>
      </c>
      <c r="B131" s="87" t="s">
        <v>2225</v>
      </c>
      <c r="C131" s="88">
        <f t="shared" si="14"/>
        <v>255.551932</v>
      </c>
      <c r="D131" s="88">
        <v>119.593438</v>
      </c>
      <c r="E131" s="88">
        <v>7.428494</v>
      </c>
      <c r="F131" s="88">
        <v>13.53</v>
      </c>
      <c r="G131" s="88"/>
      <c r="H131" s="88"/>
      <c r="I131" s="88">
        <v>115</v>
      </c>
      <c r="J131" s="88"/>
      <c r="K131" s="88"/>
      <c r="L131" s="88"/>
      <c r="M131" s="69" t="s">
        <v>578</v>
      </c>
    </row>
    <row r="132" ht="17" customHeight="1" spans="1:13">
      <c r="A132" s="86" t="s">
        <v>1101</v>
      </c>
      <c r="B132" s="87" t="s">
        <v>2226</v>
      </c>
      <c r="C132" s="88">
        <f t="shared" si="14"/>
        <v>601.006641</v>
      </c>
      <c r="D132" s="88">
        <v>489.8026</v>
      </c>
      <c r="E132" s="88">
        <v>79.224041</v>
      </c>
      <c r="F132" s="88">
        <v>31.98</v>
      </c>
      <c r="G132" s="88"/>
      <c r="H132" s="88"/>
      <c r="I132" s="88"/>
      <c r="J132" s="88"/>
      <c r="K132" s="88"/>
      <c r="L132" s="88"/>
      <c r="M132" s="69" t="s">
        <v>578</v>
      </c>
    </row>
    <row r="133" ht="17" customHeight="1" spans="1:13">
      <c r="A133" s="86" t="s">
        <v>1102</v>
      </c>
      <c r="B133" s="87" t="s">
        <v>2227</v>
      </c>
      <c r="C133" s="88">
        <f t="shared" si="14"/>
        <v>379.170151</v>
      </c>
      <c r="D133" s="88">
        <v>228.408502</v>
      </c>
      <c r="E133" s="88">
        <v>14.817649</v>
      </c>
      <c r="F133" s="88">
        <v>32.994</v>
      </c>
      <c r="G133" s="88"/>
      <c r="H133" s="88"/>
      <c r="I133" s="88">
        <v>102.95</v>
      </c>
      <c r="J133" s="88"/>
      <c r="K133" s="88"/>
      <c r="L133" s="88"/>
      <c r="M133" s="69" t="s">
        <v>578</v>
      </c>
    </row>
    <row r="134" ht="17" customHeight="1" spans="1:13">
      <c r="A134" s="86" t="s">
        <v>1103</v>
      </c>
      <c r="B134" s="87" t="s">
        <v>752</v>
      </c>
      <c r="C134" s="88">
        <f t="shared" si="14"/>
        <v>181.518528</v>
      </c>
      <c r="D134" s="88">
        <v>116.077987</v>
      </c>
      <c r="E134" s="88">
        <v>64.210541</v>
      </c>
      <c r="F134" s="88">
        <v>1.23</v>
      </c>
      <c r="G134" s="88"/>
      <c r="H134" s="88"/>
      <c r="I134" s="88"/>
      <c r="J134" s="88"/>
      <c r="K134" s="88"/>
      <c r="L134" s="88"/>
      <c r="M134" s="69" t="s">
        <v>578</v>
      </c>
    </row>
    <row r="135" ht="17" customHeight="1" spans="1:13">
      <c r="A135" s="86" t="s">
        <v>1104</v>
      </c>
      <c r="B135" s="87" t="s">
        <v>753</v>
      </c>
      <c r="C135" s="88">
        <f t="shared" si="14"/>
        <v>2026.660331</v>
      </c>
      <c r="D135" s="88">
        <v>1849.353177</v>
      </c>
      <c r="E135" s="88">
        <v>138.607154</v>
      </c>
      <c r="F135" s="88">
        <v>27.06</v>
      </c>
      <c r="G135" s="88"/>
      <c r="H135" s="88"/>
      <c r="I135" s="88">
        <v>11.64</v>
      </c>
      <c r="J135" s="88"/>
      <c r="K135" s="88"/>
      <c r="L135" s="88"/>
      <c r="M135" s="69" t="s">
        <v>578</v>
      </c>
    </row>
    <row r="136" ht="17" customHeight="1" spans="1:13">
      <c r="A136" s="86" t="s">
        <v>1105</v>
      </c>
      <c r="B136" s="87" t="s">
        <v>754</v>
      </c>
      <c r="C136" s="88">
        <f t="shared" si="14"/>
        <v>657.051481</v>
      </c>
      <c r="D136" s="88">
        <v>406.250142</v>
      </c>
      <c r="E136" s="88">
        <v>206.371339</v>
      </c>
      <c r="F136" s="88">
        <v>44.43</v>
      </c>
      <c r="G136" s="88"/>
      <c r="H136" s="88"/>
      <c r="I136" s="88"/>
      <c r="J136" s="88"/>
      <c r="K136" s="88"/>
      <c r="L136" s="88"/>
      <c r="M136" s="69" t="s">
        <v>578</v>
      </c>
    </row>
    <row r="137" ht="17" customHeight="1" spans="1:13">
      <c r="A137" s="86" t="s">
        <v>1107</v>
      </c>
      <c r="B137" s="87" t="s">
        <v>755</v>
      </c>
      <c r="C137" s="88">
        <f t="shared" si="14"/>
        <v>2145.714825</v>
      </c>
      <c r="D137" s="88">
        <v>1832.809645</v>
      </c>
      <c r="E137" s="88">
        <v>182.28518</v>
      </c>
      <c r="F137" s="88">
        <v>109.62</v>
      </c>
      <c r="G137" s="88"/>
      <c r="H137" s="88"/>
      <c r="I137" s="88">
        <v>21</v>
      </c>
      <c r="J137" s="88"/>
      <c r="K137" s="88"/>
      <c r="L137" s="88"/>
      <c r="M137" s="94" t="s">
        <v>578</v>
      </c>
    </row>
    <row r="138" ht="17" customHeight="1" spans="1:13">
      <c r="A138" s="86" t="s">
        <v>1108</v>
      </c>
      <c r="B138" s="87" t="s">
        <v>756</v>
      </c>
      <c r="C138" s="88">
        <f t="shared" si="14"/>
        <v>3405.093576</v>
      </c>
      <c r="D138" s="88">
        <v>2961.994184</v>
      </c>
      <c r="E138" s="88">
        <v>304.541392</v>
      </c>
      <c r="F138" s="88">
        <v>138.558</v>
      </c>
      <c r="G138" s="88"/>
      <c r="H138" s="88"/>
      <c r="I138" s="88"/>
      <c r="J138" s="88"/>
      <c r="K138" s="88"/>
      <c r="L138" s="88"/>
      <c r="M138" s="69" t="s">
        <v>578</v>
      </c>
    </row>
    <row r="139" ht="17" customHeight="1" spans="1:13">
      <c r="A139" s="86" t="s">
        <v>1109</v>
      </c>
      <c r="B139" s="87" t="s">
        <v>757</v>
      </c>
      <c r="C139" s="88">
        <f t="shared" si="14"/>
        <v>1648.155264</v>
      </c>
      <c r="D139" s="88">
        <v>1391.678405</v>
      </c>
      <c r="E139" s="88">
        <v>167.578859</v>
      </c>
      <c r="F139" s="88">
        <v>86.898</v>
      </c>
      <c r="G139" s="88"/>
      <c r="H139" s="88"/>
      <c r="I139" s="88">
        <v>2</v>
      </c>
      <c r="J139" s="88"/>
      <c r="K139" s="88"/>
      <c r="L139" s="88"/>
      <c r="M139" s="69" t="s">
        <v>578</v>
      </c>
    </row>
    <row r="140" ht="17" customHeight="1" spans="1:13">
      <c r="A140" s="86" t="s">
        <v>1110</v>
      </c>
      <c r="B140" s="87" t="s">
        <v>758</v>
      </c>
      <c r="C140" s="88">
        <f t="shared" si="14"/>
        <v>990.77945</v>
      </c>
      <c r="D140" s="88">
        <v>875.753528</v>
      </c>
      <c r="E140" s="88">
        <v>88.627922</v>
      </c>
      <c r="F140" s="88">
        <v>25.398</v>
      </c>
      <c r="G140" s="88"/>
      <c r="H140" s="88"/>
      <c r="I140" s="88">
        <v>1</v>
      </c>
      <c r="J140" s="88"/>
      <c r="K140" s="88"/>
      <c r="L140" s="88"/>
      <c r="M140" s="69" t="s">
        <v>578</v>
      </c>
    </row>
    <row r="141" ht="17" customHeight="1" spans="1:13">
      <c r="A141" s="86" t="s">
        <v>1111</v>
      </c>
      <c r="B141" s="87" t="s">
        <v>759</v>
      </c>
      <c r="C141" s="88">
        <f t="shared" si="14"/>
        <v>1926.19263</v>
      </c>
      <c r="D141" s="88">
        <v>1679.124541</v>
      </c>
      <c r="E141" s="88">
        <v>176.854089</v>
      </c>
      <c r="F141" s="88">
        <v>50.214</v>
      </c>
      <c r="G141" s="88"/>
      <c r="H141" s="88"/>
      <c r="I141" s="88">
        <v>20</v>
      </c>
      <c r="J141" s="88"/>
      <c r="K141" s="88"/>
      <c r="L141" s="88"/>
      <c r="M141" s="69" t="s">
        <v>578</v>
      </c>
    </row>
    <row r="142" ht="17" customHeight="1" spans="1:13">
      <c r="A142" s="86" t="s">
        <v>1112</v>
      </c>
      <c r="B142" s="87" t="s">
        <v>760</v>
      </c>
      <c r="C142" s="88">
        <f t="shared" si="14"/>
        <v>771.302463</v>
      </c>
      <c r="D142" s="88">
        <v>594.57021</v>
      </c>
      <c r="E142" s="88">
        <v>118.782253</v>
      </c>
      <c r="F142" s="88">
        <v>52.95</v>
      </c>
      <c r="G142" s="88"/>
      <c r="H142" s="88"/>
      <c r="I142" s="88">
        <v>5</v>
      </c>
      <c r="J142" s="88"/>
      <c r="K142" s="88"/>
      <c r="L142" s="88"/>
      <c r="M142" s="69" t="s">
        <v>578</v>
      </c>
    </row>
    <row r="143" ht="17" customHeight="1" spans="1:13">
      <c r="A143" s="86" t="s">
        <v>1113</v>
      </c>
      <c r="B143" s="87" t="s">
        <v>761</v>
      </c>
      <c r="C143" s="88">
        <f t="shared" si="14"/>
        <v>3305.212597</v>
      </c>
      <c r="D143" s="88">
        <v>2921.514473</v>
      </c>
      <c r="E143" s="88">
        <v>357.534124</v>
      </c>
      <c r="F143" s="88">
        <v>21.492</v>
      </c>
      <c r="G143" s="88"/>
      <c r="H143" s="88"/>
      <c r="I143" s="88">
        <v>4.672</v>
      </c>
      <c r="J143" s="88"/>
      <c r="K143" s="88"/>
      <c r="L143" s="88"/>
      <c r="M143" s="69" t="s">
        <v>578</v>
      </c>
    </row>
    <row r="144" ht="17" customHeight="1" spans="1:13">
      <c r="A144" s="86" t="s">
        <v>1114</v>
      </c>
      <c r="B144" s="87" t="s">
        <v>762</v>
      </c>
      <c r="C144" s="88">
        <f t="shared" si="14"/>
        <v>4597.302965</v>
      </c>
      <c r="D144" s="88">
        <v>3929.32414</v>
      </c>
      <c r="E144" s="88">
        <v>450.812825</v>
      </c>
      <c r="F144" s="88">
        <v>197.166</v>
      </c>
      <c r="G144" s="88"/>
      <c r="H144" s="88"/>
      <c r="I144" s="88">
        <v>20</v>
      </c>
      <c r="J144" s="88"/>
      <c r="K144" s="88"/>
      <c r="L144" s="88"/>
      <c r="M144" s="94" t="s">
        <v>578</v>
      </c>
    </row>
    <row r="145" ht="17" customHeight="1" spans="1:13">
      <c r="A145" s="86" t="s">
        <v>1115</v>
      </c>
      <c r="B145" s="87" t="s">
        <v>763</v>
      </c>
      <c r="C145" s="88">
        <f t="shared" si="14"/>
        <v>2812.172263</v>
      </c>
      <c r="D145" s="88">
        <v>2446.653956</v>
      </c>
      <c r="E145" s="88">
        <v>238.518307</v>
      </c>
      <c r="F145" s="88">
        <v>117</v>
      </c>
      <c r="G145" s="88"/>
      <c r="H145" s="88"/>
      <c r="I145" s="88">
        <v>10</v>
      </c>
      <c r="J145" s="88"/>
      <c r="K145" s="88"/>
      <c r="L145" s="88"/>
      <c r="M145" s="69" t="s">
        <v>578</v>
      </c>
    </row>
    <row r="146" ht="17" customHeight="1" spans="1:13">
      <c r="A146" s="86" t="s">
        <v>1116</v>
      </c>
      <c r="B146" s="87" t="s">
        <v>764</v>
      </c>
      <c r="C146" s="88">
        <f t="shared" si="14"/>
        <v>5506.108764</v>
      </c>
      <c r="D146" s="88">
        <v>4634.279206</v>
      </c>
      <c r="E146" s="88">
        <v>681.015558</v>
      </c>
      <c r="F146" s="88">
        <v>140.814</v>
      </c>
      <c r="G146" s="88"/>
      <c r="H146" s="88"/>
      <c r="I146" s="88">
        <v>50</v>
      </c>
      <c r="J146" s="88"/>
      <c r="K146" s="88"/>
      <c r="L146" s="88"/>
      <c r="M146" s="69" t="s">
        <v>578</v>
      </c>
    </row>
    <row r="147" ht="17" customHeight="1" spans="1:13">
      <c r="A147" s="86" t="s">
        <v>1117</v>
      </c>
      <c r="B147" s="87" t="s">
        <v>765</v>
      </c>
      <c r="C147" s="88">
        <f t="shared" si="14"/>
        <v>5846.695023</v>
      </c>
      <c r="D147" s="88">
        <v>5004.794031</v>
      </c>
      <c r="E147" s="88">
        <v>573.181592</v>
      </c>
      <c r="F147" s="88">
        <v>168.7194</v>
      </c>
      <c r="G147" s="88"/>
      <c r="H147" s="88"/>
      <c r="I147" s="88">
        <v>100</v>
      </c>
      <c r="J147" s="88"/>
      <c r="K147" s="88"/>
      <c r="L147" s="88"/>
      <c r="M147" s="69" t="s">
        <v>578</v>
      </c>
    </row>
    <row r="148" ht="17" customHeight="1" spans="1:13">
      <c r="A148" s="86" t="s">
        <v>1118</v>
      </c>
      <c r="B148" s="87" t="s">
        <v>766</v>
      </c>
      <c r="C148" s="88">
        <f t="shared" si="14"/>
        <v>4228.418217</v>
      </c>
      <c r="D148" s="88">
        <v>3421.564113</v>
      </c>
      <c r="E148" s="88">
        <v>623.152704</v>
      </c>
      <c r="F148" s="88">
        <v>183.7014</v>
      </c>
      <c r="G148" s="88"/>
      <c r="H148" s="88"/>
      <c r="I148" s="88"/>
      <c r="J148" s="88"/>
      <c r="K148" s="88"/>
      <c r="L148" s="88"/>
      <c r="M148" s="69" t="s">
        <v>578</v>
      </c>
    </row>
    <row r="149" ht="17" customHeight="1" spans="1:13">
      <c r="A149" s="86" t="s">
        <v>1119</v>
      </c>
      <c r="B149" s="87" t="s">
        <v>767</v>
      </c>
      <c r="C149" s="88">
        <f t="shared" si="14"/>
        <v>2965.141872</v>
      </c>
      <c r="D149" s="88">
        <v>2440.635126</v>
      </c>
      <c r="E149" s="88">
        <v>437.300146</v>
      </c>
      <c r="F149" s="88">
        <v>71.5074</v>
      </c>
      <c r="G149" s="88"/>
      <c r="H149" s="88"/>
      <c r="I149" s="88">
        <v>15.6992</v>
      </c>
      <c r="J149" s="88"/>
      <c r="K149" s="88"/>
      <c r="L149" s="88"/>
      <c r="M149" s="69" t="s">
        <v>578</v>
      </c>
    </row>
    <row r="150" ht="17" customHeight="1" spans="1:13">
      <c r="A150" s="86" t="s">
        <v>1120</v>
      </c>
      <c r="B150" s="87" t="s">
        <v>768</v>
      </c>
      <c r="C150" s="88">
        <f t="shared" si="14"/>
        <v>343.649753</v>
      </c>
      <c r="D150" s="88">
        <v>286.638509</v>
      </c>
      <c r="E150" s="88">
        <v>25.395244</v>
      </c>
      <c r="F150" s="88">
        <v>31.116</v>
      </c>
      <c r="G150" s="88"/>
      <c r="H150" s="88"/>
      <c r="I150" s="88">
        <v>0.5</v>
      </c>
      <c r="J150" s="88"/>
      <c r="K150" s="88"/>
      <c r="L150" s="88"/>
      <c r="M150" s="69" t="s">
        <v>578</v>
      </c>
    </row>
    <row r="151" ht="17" customHeight="1" spans="1:13">
      <c r="A151" s="86" t="s">
        <v>1121</v>
      </c>
      <c r="B151" s="87" t="s">
        <v>769</v>
      </c>
      <c r="C151" s="88">
        <f t="shared" si="14"/>
        <v>974.610307</v>
      </c>
      <c r="D151" s="88">
        <v>884.132245</v>
      </c>
      <c r="E151" s="88">
        <v>36.688062</v>
      </c>
      <c r="F151" s="88">
        <v>52.89</v>
      </c>
      <c r="G151" s="88"/>
      <c r="H151" s="88"/>
      <c r="I151" s="88">
        <v>0.9</v>
      </c>
      <c r="J151" s="88"/>
      <c r="K151" s="88"/>
      <c r="L151" s="88"/>
      <c r="M151" s="69" t="s">
        <v>578</v>
      </c>
    </row>
    <row r="152" ht="17" customHeight="1" spans="1:13">
      <c r="A152" s="86" t="s">
        <v>1122</v>
      </c>
      <c r="B152" s="87" t="s">
        <v>770</v>
      </c>
      <c r="C152" s="88">
        <f t="shared" si="14"/>
        <v>348.998949</v>
      </c>
      <c r="D152" s="88">
        <v>316.892548</v>
      </c>
      <c r="E152" s="88">
        <v>12.126401</v>
      </c>
      <c r="F152" s="88">
        <v>19.68</v>
      </c>
      <c r="G152" s="88"/>
      <c r="H152" s="88"/>
      <c r="I152" s="88">
        <v>0.3</v>
      </c>
      <c r="J152" s="88"/>
      <c r="K152" s="88"/>
      <c r="L152" s="88"/>
      <c r="M152" s="69" t="s">
        <v>578</v>
      </c>
    </row>
    <row r="153" ht="17" customHeight="1" spans="1:13">
      <c r="A153" s="86" t="s">
        <v>1123</v>
      </c>
      <c r="B153" s="87" t="s">
        <v>771</v>
      </c>
      <c r="C153" s="88">
        <f t="shared" si="14"/>
        <v>3154.725281</v>
      </c>
      <c r="D153" s="88">
        <v>2672.573439</v>
      </c>
      <c r="E153" s="88">
        <v>298.621842</v>
      </c>
      <c r="F153" s="88">
        <v>174.03</v>
      </c>
      <c r="G153" s="88"/>
      <c r="H153" s="88"/>
      <c r="I153" s="88">
        <v>9.5</v>
      </c>
      <c r="J153" s="88"/>
      <c r="K153" s="88"/>
      <c r="L153" s="88"/>
      <c r="M153" s="69" t="s">
        <v>578</v>
      </c>
    </row>
    <row r="154" ht="17" customHeight="1" spans="1:13">
      <c r="A154" s="86" t="s">
        <v>1124</v>
      </c>
      <c r="B154" s="87" t="s">
        <v>772</v>
      </c>
      <c r="C154" s="88">
        <f t="shared" si="14"/>
        <v>9056.550165</v>
      </c>
      <c r="D154" s="88">
        <v>7586.947312</v>
      </c>
      <c r="E154" s="88">
        <v>850.224657</v>
      </c>
      <c r="F154" s="88">
        <v>588.762996</v>
      </c>
      <c r="G154" s="88"/>
      <c r="H154" s="88"/>
      <c r="I154" s="88">
        <v>30.6152</v>
      </c>
      <c r="J154" s="88"/>
      <c r="K154" s="88"/>
      <c r="L154" s="88"/>
      <c r="M154" s="94" t="s">
        <v>578</v>
      </c>
    </row>
    <row r="155" ht="17" customHeight="1" spans="1:13">
      <c r="A155" s="86" t="s">
        <v>1125</v>
      </c>
      <c r="B155" s="87" t="s">
        <v>773</v>
      </c>
      <c r="C155" s="88">
        <f t="shared" si="14"/>
        <v>5555.333522</v>
      </c>
      <c r="D155" s="88">
        <v>4545.721626</v>
      </c>
      <c r="E155" s="88">
        <v>522.065896</v>
      </c>
      <c r="F155" s="88">
        <v>477.546</v>
      </c>
      <c r="G155" s="88"/>
      <c r="H155" s="88"/>
      <c r="I155" s="88">
        <v>10</v>
      </c>
      <c r="J155" s="88"/>
      <c r="K155" s="88"/>
      <c r="L155" s="88"/>
      <c r="M155" s="69" t="s">
        <v>578</v>
      </c>
    </row>
    <row r="156" ht="17" customHeight="1" spans="1:13">
      <c r="A156" s="86" t="s">
        <v>1126</v>
      </c>
      <c r="B156" s="87" t="s">
        <v>774</v>
      </c>
      <c r="C156" s="88">
        <f t="shared" si="14"/>
        <v>4652.891885</v>
      </c>
      <c r="D156" s="88">
        <v>3897.23542</v>
      </c>
      <c r="E156" s="88">
        <v>346.558553</v>
      </c>
      <c r="F156" s="88">
        <v>395.097912</v>
      </c>
      <c r="G156" s="88"/>
      <c r="H156" s="88"/>
      <c r="I156" s="88">
        <v>14</v>
      </c>
      <c r="J156" s="88"/>
      <c r="K156" s="88"/>
      <c r="L156" s="88"/>
      <c r="M156" s="69" t="s">
        <v>578</v>
      </c>
    </row>
    <row r="157" ht="17" customHeight="1" spans="1:13">
      <c r="A157" s="86" t="s">
        <v>1127</v>
      </c>
      <c r="B157" s="87" t="s">
        <v>775</v>
      </c>
      <c r="C157" s="88">
        <f t="shared" si="14"/>
        <v>4567.621189</v>
      </c>
      <c r="D157" s="88">
        <v>3879.328556</v>
      </c>
      <c r="E157" s="88">
        <v>249.283897</v>
      </c>
      <c r="F157" s="88">
        <v>429.008736</v>
      </c>
      <c r="G157" s="88"/>
      <c r="H157" s="88"/>
      <c r="I157" s="88">
        <v>10</v>
      </c>
      <c r="J157" s="88"/>
      <c r="K157" s="88"/>
      <c r="L157" s="88"/>
      <c r="M157" s="69" t="s">
        <v>578</v>
      </c>
    </row>
    <row r="158" ht="17" customHeight="1" spans="1:13">
      <c r="A158" s="86" t="s">
        <v>1128</v>
      </c>
      <c r="B158" s="87" t="s">
        <v>776</v>
      </c>
      <c r="C158" s="88">
        <f t="shared" si="14"/>
        <v>3387.16332</v>
      </c>
      <c r="D158" s="88">
        <v>2847.53721</v>
      </c>
      <c r="E158" s="88">
        <v>272.36011</v>
      </c>
      <c r="F158" s="88">
        <v>247.266</v>
      </c>
      <c r="G158" s="88"/>
      <c r="H158" s="88"/>
      <c r="I158" s="88">
        <v>20</v>
      </c>
      <c r="J158" s="88"/>
      <c r="K158" s="88"/>
      <c r="L158" s="88"/>
      <c r="M158" s="69" t="s">
        <v>578</v>
      </c>
    </row>
    <row r="159" ht="17" customHeight="1" spans="1:13">
      <c r="A159" s="86" t="s">
        <v>1129</v>
      </c>
      <c r="B159" s="87" t="s">
        <v>777</v>
      </c>
      <c r="C159" s="88">
        <f t="shared" si="14"/>
        <v>4842.541846</v>
      </c>
      <c r="D159" s="88">
        <v>4081.612788</v>
      </c>
      <c r="E159" s="88">
        <v>368.195958</v>
      </c>
      <c r="F159" s="88">
        <v>375.1991</v>
      </c>
      <c r="G159" s="88"/>
      <c r="H159" s="88"/>
      <c r="I159" s="88">
        <v>17.534</v>
      </c>
      <c r="J159" s="88"/>
      <c r="K159" s="88"/>
      <c r="L159" s="88"/>
      <c r="M159" s="69" t="s">
        <v>578</v>
      </c>
    </row>
    <row r="160" ht="17" customHeight="1" spans="1:13">
      <c r="A160" s="86" t="s">
        <v>1130</v>
      </c>
      <c r="B160" s="87" t="s">
        <v>778</v>
      </c>
      <c r="C160" s="88">
        <f t="shared" si="14"/>
        <v>6498.064521</v>
      </c>
      <c r="D160" s="88">
        <v>5351.065449</v>
      </c>
      <c r="E160" s="88">
        <v>553.346092</v>
      </c>
      <c r="F160" s="88">
        <v>568.65298</v>
      </c>
      <c r="G160" s="88"/>
      <c r="H160" s="88"/>
      <c r="I160" s="88">
        <v>25</v>
      </c>
      <c r="J160" s="88"/>
      <c r="K160" s="88"/>
      <c r="L160" s="88"/>
      <c r="M160" s="69" t="s">
        <v>578</v>
      </c>
    </row>
    <row r="161" ht="17" customHeight="1" spans="1:13">
      <c r="A161" s="86" t="s">
        <v>1131</v>
      </c>
      <c r="B161" s="87" t="s">
        <v>779</v>
      </c>
      <c r="C161" s="88">
        <f t="shared" si="14"/>
        <v>3208.652894</v>
      </c>
      <c r="D161" s="88">
        <v>2734.49131</v>
      </c>
      <c r="E161" s="88">
        <v>239.701584</v>
      </c>
      <c r="F161" s="88">
        <v>224.46</v>
      </c>
      <c r="G161" s="88"/>
      <c r="H161" s="88"/>
      <c r="I161" s="88">
        <v>10</v>
      </c>
      <c r="J161" s="88"/>
      <c r="K161" s="88"/>
      <c r="L161" s="88"/>
      <c r="M161" s="69" t="s">
        <v>578</v>
      </c>
    </row>
    <row r="162" ht="17" customHeight="1" spans="1:13">
      <c r="A162" s="86" t="s">
        <v>1132</v>
      </c>
      <c r="B162" s="87" t="s">
        <v>780</v>
      </c>
      <c r="C162" s="88">
        <f t="shared" si="14"/>
        <v>3617.999725</v>
      </c>
      <c r="D162" s="88">
        <v>3014.789112</v>
      </c>
      <c r="E162" s="88">
        <v>308.660613</v>
      </c>
      <c r="F162" s="88">
        <v>284.55</v>
      </c>
      <c r="G162" s="88"/>
      <c r="H162" s="88"/>
      <c r="I162" s="88">
        <v>10</v>
      </c>
      <c r="J162" s="88"/>
      <c r="K162" s="88"/>
      <c r="L162" s="88"/>
      <c r="M162" s="69" t="s">
        <v>578</v>
      </c>
    </row>
    <row r="163" ht="17" customHeight="1" spans="1:13">
      <c r="A163" s="86" t="s">
        <v>1133</v>
      </c>
      <c r="B163" s="87" t="s">
        <v>2228</v>
      </c>
      <c r="C163" s="88">
        <f t="shared" si="14"/>
        <v>6004.741638</v>
      </c>
      <c r="D163" s="88">
        <v>5218.063306</v>
      </c>
      <c r="E163" s="88">
        <v>318.744332</v>
      </c>
      <c r="F163" s="88">
        <v>431.934</v>
      </c>
      <c r="G163" s="88"/>
      <c r="H163" s="88"/>
      <c r="I163" s="88">
        <v>36</v>
      </c>
      <c r="J163" s="88"/>
      <c r="K163" s="88"/>
      <c r="L163" s="88"/>
      <c r="M163" s="69" t="s">
        <v>578</v>
      </c>
    </row>
    <row r="164" ht="17" customHeight="1" spans="1:13">
      <c r="A164" s="86" t="s">
        <v>1134</v>
      </c>
      <c r="B164" s="87" t="s">
        <v>782</v>
      </c>
      <c r="C164" s="88">
        <f t="shared" si="14"/>
        <v>4369.61317</v>
      </c>
      <c r="D164" s="88">
        <v>3751.9428</v>
      </c>
      <c r="E164" s="88">
        <v>280.22037</v>
      </c>
      <c r="F164" s="88">
        <v>327.45</v>
      </c>
      <c r="G164" s="88"/>
      <c r="H164" s="88"/>
      <c r="I164" s="88">
        <v>10</v>
      </c>
      <c r="J164" s="88"/>
      <c r="K164" s="88"/>
      <c r="L164" s="88"/>
      <c r="M164" s="69" t="s">
        <v>578</v>
      </c>
    </row>
    <row r="165" ht="17" customHeight="1" spans="1:13">
      <c r="A165" s="86" t="s">
        <v>1135</v>
      </c>
      <c r="B165" s="87" t="s">
        <v>783</v>
      </c>
      <c r="C165" s="88">
        <f t="shared" si="14"/>
        <v>564.237415</v>
      </c>
      <c r="D165" s="88">
        <v>514.796882</v>
      </c>
      <c r="E165" s="88">
        <v>32.286533</v>
      </c>
      <c r="F165" s="88">
        <v>17.154</v>
      </c>
      <c r="G165" s="88"/>
      <c r="H165" s="88"/>
      <c r="I165" s="88"/>
      <c r="J165" s="88"/>
      <c r="K165" s="88"/>
      <c r="L165" s="88"/>
      <c r="M165" s="69" t="s">
        <v>578</v>
      </c>
    </row>
    <row r="166" ht="17" customHeight="1" spans="1:13">
      <c r="A166" s="86" t="s">
        <v>1136</v>
      </c>
      <c r="B166" s="87" t="s">
        <v>784</v>
      </c>
      <c r="C166" s="88">
        <f t="shared" si="14"/>
        <v>1290.771307</v>
      </c>
      <c r="D166" s="88">
        <v>1023.283993</v>
      </c>
      <c r="E166" s="88">
        <v>200.187272</v>
      </c>
      <c r="F166" s="88">
        <v>57.982642</v>
      </c>
      <c r="G166" s="88"/>
      <c r="H166" s="88"/>
      <c r="I166" s="88">
        <v>9.3174</v>
      </c>
      <c r="J166" s="88"/>
      <c r="K166" s="88"/>
      <c r="L166" s="88"/>
      <c r="M166" s="69" t="s">
        <v>578</v>
      </c>
    </row>
    <row r="167" ht="17" customHeight="1" spans="1:13">
      <c r="A167" s="86" t="s">
        <v>1138</v>
      </c>
      <c r="B167" s="87" t="s">
        <v>785</v>
      </c>
      <c r="C167" s="88">
        <f t="shared" si="14"/>
        <v>1664.02679</v>
      </c>
      <c r="D167" s="88">
        <v>1377.38367</v>
      </c>
      <c r="E167" s="88">
        <v>204.307252</v>
      </c>
      <c r="F167" s="88">
        <v>72.335868</v>
      </c>
      <c r="G167" s="88"/>
      <c r="H167" s="88"/>
      <c r="I167" s="88">
        <v>10</v>
      </c>
      <c r="J167" s="88"/>
      <c r="K167" s="88"/>
      <c r="L167" s="88"/>
      <c r="M167" s="69" t="s">
        <v>578</v>
      </c>
    </row>
    <row r="168" ht="17" customHeight="1" spans="1:13">
      <c r="A168" s="86" t="s">
        <v>1139</v>
      </c>
      <c r="B168" s="87" t="s">
        <v>786</v>
      </c>
      <c r="C168" s="88">
        <f t="shared" si="14"/>
        <v>1109.922751</v>
      </c>
      <c r="D168" s="88">
        <v>966.893305</v>
      </c>
      <c r="E168" s="88">
        <v>104.791446</v>
      </c>
      <c r="F168" s="88">
        <v>29.238</v>
      </c>
      <c r="G168" s="88"/>
      <c r="H168" s="88"/>
      <c r="I168" s="88">
        <v>9</v>
      </c>
      <c r="J168" s="88"/>
      <c r="K168" s="88"/>
      <c r="L168" s="88"/>
      <c r="M168" s="69" t="s">
        <v>578</v>
      </c>
    </row>
    <row r="169" ht="17" customHeight="1" spans="1:13">
      <c r="A169" s="86" t="s">
        <v>1140</v>
      </c>
      <c r="B169" s="87" t="s">
        <v>787</v>
      </c>
      <c r="C169" s="88">
        <f t="shared" si="14"/>
        <v>1164.868644</v>
      </c>
      <c r="D169" s="88">
        <v>1028.497162</v>
      </c>
      <c r="E169" s="88">
        <v>131.371482</v>
      </c>
      <c r="F169" s="88"/>
      <c r="G169" s="88"/>
      <c r="H169" s="88"/>
      <c r="I169" s="88">
        <v>5</v>
      </c>
      <c r="J169" s="88"/>
      <c r="K169" s="88"/>
      <c r="L169" s="88"/>
      <c r="M169" s="69" t="s">
        <v>578</v>
      </c>
    </row>
    <row r="170" ht="17" customHeight="1" spans="1:13">
      <c r="A170" s="86" t="s">
        <v>1141</v>
      </c>
      <c r="B170" s="87" t="s">
        <v>788</v>
      </c>
      <c r="C170" s="88">
        <f t="shared" si="14"/>
        <v>2089.970462</v>
      </c>
      <c r="D170" s="88">
        <v>1788.250008</v>
      </c>
      <c r="E170" s="88">
        <v>272.716454</v>
      </c>
      <c r="F170" s="88">
        <v>17.004</v>
      </c>
      <c r="G170" s="88"/>
      <c r="H170" s="88"/>
      <c r="I170" s="88">
        <v>12</v>
      </c>
      <c r="J170" s="88"/>
      <c r="K170" s="88"/>
      <c r="L170" s="88"/>
      <c r="M170" s="69" t="s">
        <v>578</v>
      </c>
    </row>
    <row r="171" ht="17" customHeight="1" spans="1:13">
      <c r="A171" s="86" t="s">
        <v>1142</v>
      </c>
      <c r="B171" s="87" t="s">
        <v>789</v>
      </c>
      <c r="C171" s="88">
        <f t="shared" si="14"/>
        <v>4379.056648</v>
      </c>
      <c r="D171" s="88">
        <v>3804.179304</v>
      </c>
      <c r="E171" s="88">
        <v>500.421344</v>
      </c>
      <c r="F171" s="88">
        <v>4.056</v>
      </c>
      <c r="G171" s="88"/>
      <c r="H171" s="88"/>
      <c r="I171" s="88">
        <v>70.4</v>
      </c>
      <c r="J171" s="88"/>
      <c r="K171" s="88"/>
      <c r="L171" s="88"/>
      <c r="M171" s="69" t="s">
        <v>578</v>
      </c>
    </row>
    <row r="172" ht="17" customHeight="1" spans="1:13">
      <c r="A172" s="86" t="s">
        <v>1143</v>
      </c>
      <c r="B172" s="87" t="s">
        <v>790</v>
      </c>
      <c r="C172" s="88">
        <f t="shared" si="14"/>
        <v>3862.288159</v>
      </c>
      <c r="D172" s="88">
        <v>3459.482648</v>
      </c>
      <c r="E172" s="88">
        <v>378.397511</v>
      </c>
      <c r="F172" s="88">
        <v>9.408</v>
      </c>
      <c r="G172" s="88"/>
      <c r="H172" s="88"/>
      <c r="I172" s="88">
        <v>15</v>
      </c>
      <c r="J172" s="88"/>
      <c r="K172" s="88"/>
      <c r="L172" s="88"/>
      <c r="M172" s="69" t="s">
        <v>578</v>
      </c>
    </row>
    <row r="173" ht="17" customHeight="1" spans="1:13">
      <c r="A173" s="86" t="s">
        <v>1144</v>
      </c>
      <c r="B173" s="87" t="s">
        <v>791</v>
      </c>
      <c r="C173" s="88">
        <f t="shared" si="14"/>
        <v>1516.496526</v>
      </c>
      <c r="D173" s="88">
        <v>1242.745427</v>
      </c>
      <c r="E173" s="88">
        <v>258.251099</v>
      </c>
      <c r="F173" s="88"/>
      <c r="G173" s="88"/>
      <c r="H173" s="88"/>
      <c r="I173" s="88">
        <v>15.5</v>
      </c>
      <c r="J173" s="88"/>
      <c r="K173" s="88"/>
      <c r="L173" s="88"/>
      <c r="M173" s="69" t="s">
        <v>578</v>
      </c>
    </row>
    <row r="174" ht="17" customHeight="1" spans="1:13">
      <c r="A174" s="86" t="s">
        <v>1145</v>
      </c>
      <c r="B174" s="87" t="s">
        <v>792</v>
      </c>
      <c r="C174" s="88">
        <f t="shared" si="14"/>
        <v>1625.258289</v>
      </c>
      <c r="D174" s="88">
        <v>1303.334667</v>
      </c>
      <c r="E174" s="88">
        <v>250.987622</v>
      </c>
      <c r="F174" s="88">
        <v>60.936</v>
      </c>
      <c r="G174" s="88"/>
      <c r="H174" s="88"/>
      <c r="I174" s="88">
        <v>10</v>
      </c>
      <c r="J174" s="88"/>
      <c r="K174" s="88"/>
      <c r="L174" s="88"/>
      <c r="M174" s="69" t="s">
        <v>578</v>
      </c>
    </row>
    <row r="175" ht="17" customHeight="1" spans="1:13">
      <c r="A175" s="86" t="s">
        <v>1146</v>
      </c>
      <c r="B175" s="87" t="s">
        <v>793</v>
      </c>
      <c r="C175" s="88">
        <f t="shared" si="14"/>
        <v>1738.965576</v>
      </c>
      <c r="D175" s="88">
        <v>1481.508294</v>
      </c>
      <c r="E175" s="88">
        <v>240.077282</v>
      </c>
      <c r="F175" s="88">
        <v>7.38</v>
      </c>
      <c r="G175" s="88"/>
      <c r="H175" s="88"/>
      <c r="I175" s="88">
        <v>10</v>
      </c>
      <c r="J175" s="88"/>
      <c r="K175" s="88"/>
      <c r="L175" s="88"/>
      <c r="M175" s="69" t="s">
        <v>578</v>
      </c>
    </row>
    <row r="176" ht="17" customHeight="1" spans="1:13">
      <c r="A176" s="95" t="s">
        <v>1147</v>
      </c>
      <c r="B176" s="96" t="s">
        <v>794</v>
      </c>
      <c r="C176" s="88">
        <f t="shared" si="14"/>
        <v>1730.132537</v>
      </c>
      <c r="D176" s="88">
        <v>1545.110691</v>
      </c>
      <c r="E176" s="88">
        <v>153.491846</v>
      </c>
      <c r="F176" s="88">
        <v>13.53</v>
      </c>
      <c r="G176" s="88"/>
      <c r="H176" s="88"/>
      <c r="I176" s="88">
        <v>18</v>
      </c>
      <c r="J176" s="88"/>
      <c r="K176" s="88"/>
      <c r="L176" s="88"/>
      <c r="M176" s="69" t="s">
        <v>578</v>
      </c>
    </row>
    <row r="177" ht="17" customHeight="1" spans="1:13">
      <c r="A177" s="95" t="s">
        <v>1148</v>
      </c>
      <c r="B177" s="96" t="s">
        <v>795</v>
      </c>
      <c r="C177" s="88">
        <f t="shared" si="14"/>
        <v>1297.986569</v>
      </c>
      <c r="D177" s="88">
        <v>1196.220979</v>
      </c>
      <c r="E177" s="88">
        <v>98.64979</v>
      </c>
      <c r="F177" s="88">
        <v>3.1158</v>
      </c>
      <c r="G177" s="88"/>
      <c r="H177" s="88"/>
      <c r="I177" s="88"/>
      <c r="J177" s="88"/>
      <c r="K177" s="88"/>
      <c r="L177" s="88"/>
      <c r="M177" s="69" t="s">
        <v>578</v>
      </c>
    </row>
    <row r="178" ht="17" customHeight="1" spans="1:13">
      <c r="A178" s="95" t="s">
        <v>1149</v>
      </c>
      <c r="B178" s="96" t="s">
        <v>796</v>
      </c>
      <c r="C178" s="88">
        <f t="shared" si="14"/>
        <v>2560.781376</v>
      </c>
      <c r="D178" s="88">
        <v>2253.233673</v>
      </c>
      <c r="E178" s="88">
        <v>289.477703</v>
      </c>
      <c r="F178" s="88">
        <v>3.69</v>
      </c>
      <c r="G178" s="88"/>
      <c r="H178" s="88"/>
      <c r="I178" s="88">
        <v>14.38</v>
      </c>
      <c r="J178" s="88"/>
      <c r="K178" s="88"/>
      <c r="L178" s="88"/>
      <c r="M178" s="69" t="s">
        <v>578</v>
      </c>
    </row>
    <row r="179" ht="17" customHeight="1" spans="1:13">
      <c r="A179" s="95" t="s">
        <v>1150</v>
      </c>
      <c r="B179" s="96" t="s">
        <v>797</v>
      </c>
      <c r="C179" s="88">
        <f t="shared" si="14"/>
        <v>715.08</v>
      </c>
      <c r="D179" s="88">
        <v>562.5</v>
      </c>
      <c r="E179" s="88">
        <v>142.58</v>
      </c>
      <c r="F179" s="88"/>
      <c r="G179" s="88"/>
      <c r="H179" s="88"/>
      <c r="I179" s="88">
        <v>10</v>
      </c>
      <c r="J179" s="88"/>
      <c r="K179" s="88"/>
      <c r="L179" s="88"/>
      <c r="M179" s="69" t="s">
        <v>578</v>
      </c>
    </row>
    <row r="180" ht="17" customHeight="1" spans="1:13">
      <c r="A180" s="95" t="s">
        <v>1151</v>
      </c>
      <c r="B180" s="96" t="s">
        <v>798</v>
      </c>
      <c r="C180" s="88">
        <f t="shared" si="14"/>
        <v>326.36</v>
      </c>
      <c r="D180" s="88">
        <v>244.5</v>
      </c>
      <c r="E180" s="88">
        <v>76.86</v>
      </c>
      <c r="F180" s="88"/>
      <c r="G180" s="88"/>
      <c r="H180" s="88"/>
      <c r="I180" s="88">
        <v>5</v>
      </c>
      <c r="J180" s="88"/>
      <c r="K180" s="88"/>
      <c r="L180" s="88"/>
      <c r="M180" s="69" t="s">
        <v>578</v>
      </c>
    </row>
    <row r="181" ht="17" customHeight="1" spans="1:13">
      <c r="A181" s="86" t="s">
        <v>1152</v>
      </c>
      <c r="B181" s="87" t="s">
        <v>2229</v>
      </c>
      <c r="C181" s="88">
        <f t="shared" si="14"/>
        <v>585.37102</v>
      </c>
      <c r="D181" s="88">
        <v>356.04108</v>
      </c>
      <c r="E181" s="88">
        <v>168.09439</v>
      </c>
      <c r="F181" s="88">
        <v>61.23555</v>
      </c>
      <c r="G181" s="88"/>
      <c r="H181" s="88"/>
      <c r="I181" s="88"/>
      <c r="J181" s="88"/>
      <c r="K181" s="88"/>
      <c r="L181" s="88"/>
      <c r="M181" s="69" t="s">
        <v>578</v>
      </c>
    </row>
    <row r="182" ht="17" customHeight="1" spans="1:13">
      <c r="A182" s="86" t="s">
        <v>1153</v>
      </c>
      <c r="B182" s="87" t="s">
        <v>800</v>
      </c>
      <c r="C182" s="88">
        <f t="shared" si="14"/>
        <v>385.317705</v>
      </c>
      <c r="D182" s="88">
        <v>243.928999</v>
      </c>
      <c r="E182" s="88">
        <v>106.785096</v>
      </c>
      <c r="F182" s="88">
        <v>32.60361</v>
      </c>
      <c r="G182" s="88"/>
      <c r="H182" s="88"/>
      <c r="I182" s="88">
        <v>2</v>
      </c>
      <c r="J182" s="88"/>
      <c r="K182" s="88"/>
      <c r="L182" s="88"/>
      <c r="M182" s="69" t="s">
        <v>578</v>
      </c>
    </row>
    <row r="183" ht="17" customHeight="1" spans="1:13">
      <c r="A183" s="86" t="s">
        <v>1154</v>
      </c>
      <c r="B183" s="87" t="s">
        <v>801</v>
      </c>
      <c r="C183" s="88">
        <f t="shared" ref="C183:C185" si="15">SUM(D183:L183)</f>
        <v>1077.553937</v>
      </c>
      <c r="D183" s="88">
        <v>665.965937</v>
      </c>
      <c r="E183" s="88">
        <v>288.5745</v>
      </c>
      <c r="F183" s="88">
        <v>3.0135</v>
      </c>
      <c r="G183" s="88"/>
      <c r="H183" s="88"/>
      <c r="I183" s="88"/>
      <c r="J183" s="88"/>
      <c r="K183" s="88"/>
      <c r="L183" s="88">
        <v>120</v>
      </c>
      <c r="M183" s="69" t="s">
        <v>578</v>
      </c>
    </row>
    <row r="184" ht="17" customHeight="1" spans="1:13">
      <c r="A184" s="86" t="s">
        <v>802</v>
      </c>
      <c r="B184" s="87" t="s">
        <v>1765</v>
      </c>
      <c r="C184" s="88">
        <f t="shared" si="15"/>
        <v>689.705777</v>
      </c>
      <c r="D184" s="88">
        <v>451.183199</v>
      </c>
      <c r="E184" s="88">
        <v>223.092818</v>
      </c>
      <c r="F184" s="88">
        <v>12.92976</v>
      </c>
      <c r="G184" s="88"/>
      <c r="H184" s="88"/>
      <c r="I184" s="88">
        <v>2.5</v>
      </c>
      <c r="J184" s="88"/>
      <c r="K184" s="88"/>
      <c r="L184" s="88"/>
      <c r="M184" s="69" t="s">
        <v>578</v>
      </c>
    </row>
    <row r="185" ht="17" customHeight="1" spans="1:13">
      <c r="A185" s="86" t="s">
        <v>804</v>
      </c>
      <c r="B185" s="87" t="s">
        <v>805</v>
      </c>
      <c r="C185" s="88">
        <f t="shared" si="15"/>
        <v>166.347698</v>
      </c>
      <c r="D185" s="88">
        <v>126.681234</v>
      </c>
      <c r="E185" s="88">
        <v>36.345956</v>
      </c>
      <c r="F185" s="88">
        <v>3.320508</v>
      </c>
      <c r="G185" s="88"/>
      <c r="H185" s="88"/>
      <c r="I185" s="88"/>
      <c r="J185" s="88"/>
      <c r="K185" s="88"/>
      <c r="L185" s="88"/>
      <c r="M185" s="69" t="s">
        <v>578</v>
      </c>
    </row>
    <row r="186" ht="17" customHeight="1" spans="1:13">
      <c r="A186" s="91"/>
      <c r="B186" s="84" t="s">
        <v>806</v>
      </c>
      <c r="C186" s="92">
        <f t="shared" ref="C186:L186" si="16">SUM(C187:C189)</f>
        <v>9203.27</v>
      </c>
      <c r="D186" s="92">
        <f t="shared" si="16"/>
        <v>4298.79</v>
      </c>
      <c r="E186" s="92">
        <f t="shared" si="16"/>
        <v>4073.48</v>
      </c>
      <c r="F186" s="92">
        <f t="shared" si="16"/>
        <v>531</v>
      </c>
      <c r="G186" s="92">
        <f t="shared" si="16"/>
        <v>0</v>
      </c>
      <c r="H186" s="92">
        <f t="shared" si="16"/>
        <v>0</v>
      </c>
      <c r="I186" s="92">
        <f t="shared" si="16"/>
        <v>300</v>
      </c>
      <c r="J186" s="92">
        <f t="shared" si="16"/>
        <v>0</v>
      </c>
      <c r="K186" s="92">
        <f t="shared" si="16"/>
        <v>0</v>
      </c>
      <c r="L186" s="92">
        <f t="shared" si="16"/>
        <v>0</v>
      </c>
      <c r="M186" s="69" t="s">
        <v>578</v>
      </c>
    </row>
    <row r="187" ht="17" customHeight="1" spans="1:13">
      <c r="A187" s="86" t="s">
        <v>2230</v>
      </c>
      <c r="B187" s="90" t="s">
        <v>807</v>
      </c>
      <c r="C187" s="88">
        <f t="shared" ref="C187:C189" si="17">SUM(D187:L187)</f>
        <v>205</v>
      </c>
      <c r="D187" s="88"/>
      <c r="E187" s="88">
        <v>205</v>
      </c>
      <c r="F187" s="88"/>
      <c r="G187" s="88"/>
      <c r="H187" s="88"/>
      <c r="I187" s="88"/>
      <c r="J187" s="88"/>
      <c r="K187" s="88"/>
      <c r="L187" s="88"/>
      <c r="M187" s="69" t="s">
        <v>578</v>
      </c>
    </row>
    <row r="188" ht="17" customHeight="1" spans="1:13">
      <c r="A188" s="86" t="s">
        <v>2231</v>
      </c>
      <c r="B188" s="96" t="s">
        <v>808</v>
      </c>
      <c r="C188" s="88">
        <f t="shared" si="17"/>
        <v>1998.27</v>
      </c>
      <c r="D188" s="88">
        <v>469.79</v>
      </c>
      <c r="E188" s="88">
        <v>1228.48</v>
      </c>
      <c r="F188" s="88"/>
      <c r="G188" s="88"/>
      <c r="H188" s="88"/>
      <c r="I188" s="88">
        <v>300</v>
      </c>
      <c r="J188" s="88"/>
      <c r="K188" s="88"/>
      <c r="L188" s="88"/>
      <c r="M188" s="69" t="s">
        <v>578</v>
      </c>
    </row>
    <row r="189" ht="17" customHeight="1" spans="1:13">
      <c r="A189" s="86" t="s">
        <v>2232</v>
      </c>
      <c r="B189" s="96" t="s">
        <v>809</v>
      </c>
      <c r="C189" s="88">
        <f t="shared" si="17"/>
        <v>7000</v>
      </c>
      <c r="D189" s="88">
        <v>3829</v>
      </c>
      <c r="E189" s="88">
        <v>2640</v>
      </c>
      <c r="F189" s="88">
        <v>531</v>
      </c>
      <c r="G189" s="88"/>
      <c r="H189" s="88"/>
      <c r="I189" s="88"/>
      <c r="J189" s="88"/>
      <c r="K189" s="88"/>
      <c r="L189" s="88"/>
      <c r="M189" s="69" t="s">
        <v>578</v>
      </c>
    </row>
    <row r="190" ht="17" customHeight="1" spans="1:13">
      <c r="A190" s="91"/>
      <c r="B190" s="84" t="s">
        <v>810</v>
      </c>
      <c r="C190" s="92">
        <f t="shared" ref="C190:L190" si="18">SUM(C191:C278)</f>
        <v>143805.940183</v>
      </c>
      <c r="D190" s="92">
        <f t="shared" si="18"/>
        <v>24182.691386</v>
      </c>
      <c r="E190" s="92">
        <f t="shared" si="18"/>
        <v>75676.488816</v>
      </c>
      <c r="F190" s="92">
        <f t="shared" si="18"/>
        <v>3620.735181</v>
      </c>
      <c r="G190" s="92">
        <f t="shared" si="18"/>
        <v>0</v>
      </c>
      <c r="H190" s="92">
        <f t="shared" si="18"/>
        <v>0</v>
      </c>
      <c r="I190" s="92">
        <f t="shared" si="18"/>
        <v>30078.3148</v>
      </c>
      <c r="J190" s="92">
        <f t="shared" si="18"/>
        <v>9337.5</v>
      </c>
      <c r="K190" s="92">
        <f t="shared" si="18"/>
        <v>0</v>
      </c>
      <c r="L190" s="92">
        <f t="shared" si="18"/>
        <v>910.21</v>
      </c>
      <c r="M190" s="69" t="s">
        <v>578</v>
      </c>
    </row>
    <row r="191" ht="16.5" hidden="1" spans="1:12">
      <c r="A191" s="97" t="s">
        <v>812</v>
      </c>
      <c r="B191" s="87" t="s">
        <v>2233</v>
      </c>
      <c r="C191" s="88">
        <f t="shared" ref="C191:C254" si="19">SUM(D191:L191)</f>
        <v>1463.126741</v>
      </c>
      <c r="D191" s="88">
        <v>462.630215</v>
      </c>
      <c r="E191" s="88">
        <v>879.927796</v>
      </c>
      <c r="F191" s="88">
        <v>115.56873</v>
      </c>
      <c r="G191" s="88"/>
      <c r="H191" s="88"/>
      <c r="I191" s="88">
        <v>5</v>
      </c>
      <c r="J191" s="88"/>
      <c r="K191" s="88"/>
      <c r="L191" s="88"/>
    </row>
    <row r="192" ht="16.5" hidden="1" spans="1:12">
      <c r="A192" s="97" t="s">
        <v>814</v>
      </c>
      <c r="B192" s="87" t="s">
        <v>815</v>
      </c>
      <c r="C192" s="88">
        <f t="shared" si="19"/>
        <v>250.633334</v>
      </c>
      <c r="D192" s="88">
        <v>203.865486</v>
      </c>
      <c r="E192" s="88">
        <v>32.313848</v>
      </c>
      <c r="F192" s="88">
        <v>12.054</v>
      </c>
      <c r="G192" s="88"/>
      <c r="H192" s="88"/>
      <c r="I192" s="88">
        <v>2.4</v>
      </c>
      <c r="J192" s="88"/>
      <c r="K192" s="88"/>
      <c r="L192" s="88"/>
    </row>
    <row r="193" ht="16.5" hidden="1" spans="1:12">
      <c r="A193" s="97" t="s">
        <v>816</v>
      </c>
      <c r="B193" s="87" t="s">
        <v>817</v>
      </c>
      <c r="C193" s="88">
        <f t="shared" si="19"/>
        <v>254.904405</v>
      </c>
      <c r="D193" s="88">
        <v>227.224589</v>
      </c>
      <c r="E193" s="88">
        <v>15.625816</v>
      </c>
      <c r="F193" s="88">
        <v>12.054</v>
      </c>
      <c r="G193" s="88"/>
      <c r="H193" s="88"/>
      <c r="I193" s="88"/>
      <c r="J193" s="88"/>
      <c r="K193" s="88"/>
      <c r="L193" s="88"/>
    </row>
    <row r="194" ht="16.5" hidden="1" spans="1:12">
      <c r="A194" s="97" t="s">
        <v>818</v>
      </c>
      <c r="B194" s="87" t="s">
        <v>819</v>
      </c>
      <c r="C194" s="88">
        <f t="shared" si="19"/>
        <v>150.714622</v>
      </c>
      <c r="D194" s="88">
        <v>140.740474</v>
      </c>
      <c r="E194" s="88">
        <v>6.974148</v>
      </c>
      <c r="F194" s="88"/>
      <c r="G194" s="88"/>
      <c r="H194" s="88"/>
      <c r="I194" s="88">
        <v>3</v>
      </c>
      <c r="J194" s="88"/>
      <c r="K194" s="88"/>
      <c r="L194" s="88"/>
    </row>
    <row r="195" ht="16.5" hidden="1" spans="1:12">
      <c r="A195" s="97" t="s">
        <v>820</v>
      </c>
      <c r="B195" s="87" t="s">
        <v>821</v>
      </c>
      <c r="C195" s="88">
        <f t="shared" si="19"/>
        <v>65.988893</v>
      </c>
      <c r="D195" s="88">
        <v>61.208269</v>
      </c>
      <c r="E195" s="88">
        <v>4.780624</v>
      </c>
      <c r="F195" s="88"/>
      <c r="G195" s="88"/>
      <c r="H195" s="88"/>
      <c r="I195" s="88"/>
      <c r="J195" s="88"/>
      <c r="K195" s="88"/>
      <c r="L195" s="88"/>
    </row>
    <row r="196" ht="16.5" hidden="1" spans="1:12">
      <c r="A196" s="97" t="s">
        <v>823</v>
      </c>
      <c r="B196" s="87" t="s">
        <v>2234</v>
      </c>
      <c r="C196" s="88">
        <f t="shared" si="19"/>
        <v>21181.964937</v>
      </c>
      <c r="D196" s="88">
        <v>1139.868801</v>
      </c>
      <c r="E196" s="88">
        <v>19831.701402</v>
      </c>
      <c r="F196" s="88">
        <v>204.044334</v>
      </c>
      <c r="G196" s="88"/>
      <c r="H196" s="88"/>
      <c r="I196" s="88">
        <v>6.3504</v>
      </c>
      <c r="J196" s="88"/>
      <c r="K196" s="88"/>
      <c r="L196" s="88"/>
    </row>
    <row r="197" ht="16.5" hidden="1" spans="1:12">
      <c r="A197" s="97" t="s">
        <v>825</v>
      </c>
      <c r="B197" s="87" t="s">
        <v>826</v>
      </c>
      <c r="C197" s="88">
        <f t="shared" si="19"/>
        <v>343.083742</v>
      </c>
      <c r="D197" s="88">
        <v>265.327422</v>
      </c>
      <c r="E197" s="88">
        <v>40.05382</v>
      </c>
      <c r="F197" s="88">
        <v>36.1905</v>
      </c>
      <c r="G197" s="88"/>
      <c r="H197" s="88"/>
      <c r="I197" s="88">
        <v>1.512</v>
      </c>
      <c r="J197" s="88"/>
      <c r="K197" s="88"/>
      <c r="L197" s="88"/>
    </row>
    <row r="198" ht="16.5" hidden="1" spans="1:12">
      <c r="A198" s="97" t="s">
        <v>827</v>
      </c>
      <c r="B198" s="87" t="s">
        <v>828</v>
      </c>
      <c r="C198" s="88">
        <f t="shared" si="19"/>
        <v>18.446455</v>
      </c>
      <c r="D198" s="88">
        <v>16.735059</v>
      </c>
      <c r="E198" s="88">
        <v>1.610596</v>
      </c>
      <c r="F198" s="88"/>
      <c r="G198" s="88"/>
      <c r="H198" s="88"/>
      <c r="I198" s="88">
        <v>0.1008</v>
      </c>
      <c r="J198" s="88"/>
      <c r="K198" s="88"/>
      <c r="L198" s="88"/>
    </row>
    <row r="199" ht="16.5" hidden="1" spans="1:12">
      <c r="A199" s="97" t="s">
        <v>829</v>
      </c>
      <c r="B199" s="87" t="s">
        <v>830</v>
      </c>
      <c r="C199" s="88">
        <f t="shared" si="19"/>
        <v>16.05499</v>
      </c>
      <c r="D199" s="88">
        <v>15.027642</v>
      </c>
      <c r="E199" s="88">
        <v>0.926548</v>
      </c>
      <c r="F199" s="88"/>
      <c r="G199" s="88"/>
      <c r="H199" s="88"/>
      <c r="I199" s="88">
        <v>0.1008</v>
      </c>
      <c r="J199" s="88"/>
      <c r="K199" s="88"/>
      <c r="L199" s="88"/>
    </row>
    <row r="200" ht="16.5" hidden="1" spans="1:12">
      <c r="A200" s="97" t="s">
        <v>831</v>
      </c>
      <c r="B200" s="87" t="s">
        <v>832</v>
      </c>
      <c r="C200" s="88">
        <f t="shared" si="19"/>
        <v>293.566022</v>
      </c>
      <c r="D200" s="88">
        <v>84.38777</v>
      </c>
      <c r="E200" s="88">
        <v>199.605252</v>
      </c>
      <c r="F200" s="88">
        <v>9.069</v>
      </c>
      <c r="G200" s="88"/>
      <c r="H200" s="88"/>
      <c r="I200" s="88">
        <v>0.504</v>
      </c>
      <c r="J200" s="88"/>
      <c r="K200" s="88"/>
      <c r="L200" s="88"/>
    </row>
    <row r="201" ht="16.5" hidden="1" spans="1:12">
      <c r="A201" s="97" t="s">
        <v>833</v>
      </c>
      <c r="B201" s="87" t="s">
        <v>834</v>
      </c>
      <c r="C201" s="88">
        <f t="shared" si="19"/>
        <v>706.246358</v>
      </c>
      <c r="D201" s="88">
        <v>99.293126</v>
      </c>
      <c r="E201" s="88">
        <v>606.348432</v>
      </c>
      <c r="F201" s="88"/>
      <c r="G201" s="88"/>
      <c r="H201" s="88"/>
      <c r="I201" s="88">
        <v>0.6048</v>
      </c>
      <c r="J201" s="88"/>
      <c r="K201" s="88"/>
      <c r="L201" s="88"/>
    </row>
    <row r="202" ht="16.5" hidden="1" spans="1:12">
      <c r="A202" s="97" t="s">
        <v>835</v>
      </c>
      <c r="B202" s="87" t="s">
        <v>836</v>
      </c>
      <c r="C202" s="88">
        <f t="shared" si="19"/>
        <v>99.378888</v>
      </c>
      <c r="D202" s="88">
        <v>93.173568</v>
      </c>
      <c r="E202" s="88">
        <v>5.60052</v>
      </c>
      <c r="F202" s="88"/>
      <c r="G202" s="88"/>
      <c r="H202" s="88"/>
      <c r="I202" s="88">
        <v>0.6048</v>
      </c>
      <c r="J202" s="88"/>
      <c r="K202" s="88"/>
      <c r="L202" s="88"/>
    </row>
    <row r="203" ht="16.5" hidden="1" spans="1:12">
      <c r="A203" s="97" t="s">
        <v>838</v>
      </c>
      <c r="B203" s="87" t="s">
        <v>2235</v>
      </c>
      <c r="C203" s="88">
        <f t="shared" si="19"/>
        <v>12944.028123</v>
      </c>
      <c r="D203" s="88">
        <v>877.537121</v>
      </c>
      <c r="E203" s="88">
        <v>3585.597793</v>
      </c>
      <c r="F203" s="88">
        <v>111.093209</v>
      </c>
      <c r="G203" s="88"/>
      <c r="H203" s="88"/>
      <c r="I203" s="88">
        <v>8369.8</v>
      </c>
      <c r="J203" s="88"/>
      <c r="K203" s="88"/>
      <c r="L203" s="88"/>
    </row>
    <row r="204" ht="16.5" hidden="1" spans="1:12">
      <c r="A204" s="97" t="s">
        <v>840</v>
      </c>
      <c r="B204" s="87" t="s">
        <v>841</v>
      </c>
      <c r="C204" s="88">
        <f t="shared" si="19"/>
        <v>256.337861</v>
      </c>
      <c r="D204" s="88">
        <v>190.391373</v>
      </c>
      <c r="E204" s="88">
        <v>41.838488</v>
      </c>
      <c r="F204" s="88">
        <v>24.108</v>
      </c>
      <c r="G204" s="88"/>
      <c r="H204" s="88"/>
      <c r="I204" s="88"/>
      <c r="J204" s="88"/>
      <c r="K204" s="88"/>
      <c r="L204" s="88"/>
    </row>
    <row r="205" ht="16.5" hidden="1" spans="1:12">
      <c r="A205" s="98" t="s">
        <v>842</v>
      </c>
      <c r="B205" s="96" t="s">
        <v>843</v>
      </c>
      <c r="C205" s="88">
        <f t="shared" si="19"/>
        <v>15.488086</v>
      </c>
      <c r="D205" s="88">
        <v>14.469018</v>
      </c>
      <c r="E205" s="88">
        <v>1.019068</v>
      </c>
      <c r="F205" s="88"/>
      <c r="G205" s="88"/>
      <c r="H205" s="88"/>
      <c r="I205" s="88"/>
      <c r="J205" s="88"/>
      <c r="K205" s="88"/>
      <c r="L205" s="88"/>
    </row>
    <row r="206" ht="16.5" hidden="1" spans="1:12">
      <c r="A206" s="97" t="s">
        <v>844</v>
      </c>
      <c r="B206" s="87" t="s">
        <v>845</v>
      </c>
      <c r="C206" s="88">
        <f t="shared" si="19"/>
        <v>74.281439</v>
      </c>
      <c r="D206" s="88">
        <v>63.852939</v>
      </c>
      <c r="E206" s="88">
        <v>4.4015</v>
      </c>
      <c r="F206" s="88">
        <v>6.027</v>
      </c>
      <c r="G206" s="88"/>
      <c r="H206" s="88"/>
      <c r="I206" s="88"/>
      <c r="J206" s="88"/>
      <c r="K206" s="88"/>
      <c r="L206" s="88"/>
    </row>
    <row r="207" ht="16.5" hidden="1" spans="1:12">
      <c r="A207" s="97" t="s">
        <v>846</v>
      </c>
      <c r="B207" s="87" t="s">
        <v>847</v>
      </c>
      <c r="C207" s="88">
        <f t="shared" si="19"/>
        <v>81.350682</v>
      </c>
      <c r="D207" s="88">
        <v>63.557686</v>
      </c>
      <c r="E207" s="88">
        <v>14.779496</v>
      </c>
      <c r="F207" s="88">
        <v>3.0135</v>
      </c>
      <c r="G207" s="88"/>
      <c r="H207" s="88"/>
      <c r="I207" s="88"/>
      <c r="J207" s="88"/>
      <c r="K207" s="88"/>
      <c r="L207" s="88"/>
    </row>
    <row r="208" ht="16.5" hidden="1" spans="1:12">
      <c r="A208" s="97" t="s">
        <v>848</v>
      </c>
      <c r="B208" s="87" t="s">
        <v>849</v>
      </c>
      <c r="C208" s="88">
        <f t="shared" si="19"/>
        <v>33.912123</v>
      </c>
      <c r="D208" s="88">
        <v>31.832344</v>
      </c>
      <c r="E208" s="88">
        <v>2.079779</v>
      </c>
      <c r="F208" s="88"/>
      <c r="G208" s="88"/>
      <c r="H208" s="88"/>
      <c r="I208" s="88"/>
      <c r="J208" s="88"/>
      <c r="K208" s="88"/>
      <c r="L208" s="88"/>
    </row>
    <row r="209" ht="16.5" hidden="1" spans="1:12">
      <c r="A209" s="97" t="s">
        <v>851</v>
      </c>
      <c r="B209" s="87" t="s">
        <v>2236</v>
      </c>
      <c r="C209" s="88">
        <f t="shared" si="19"/>
        <v>4310.547894</v>
      </c>
      <c r="D209" s="88">
        <v>657.126274</v>
      </c>
      <c r="E209" s="88">
        <v>3573.09109</v>
      </c>
      <c r="F209" s="88">
        <v>76.33053</v>
      </c>
      <c r="G209" s="88"/>
      <c r="H209" s="88"/>
      <c r="I209" s="88">
        <v>4</v>
      </c>
      <c r="J209" s="88"/>
      <c r="K209" s="88"/>
      <c r="L209" s="88"/>
    </row>
    <row r="210" ht="16.5" hidden="1" spans="1:12">
      <c r="A210" s="97" t="s">
        <v>853</v>
      </c>
      <c r="B210" s="87" t="s">
        <v>854</v>
      </c>
      <c r="C210" s="88">
        <f t="shared" si="19"/>
        <v>269.75145</v>
      </c>
      <c r="D210" s="88">
        <v>207.130306</v>
      </c>
      <c r="E210" s="88">
        <v>36.499144</v>
      </c>
      <c r="F210" s="88">
        <v>25.122</v>
      </c>
      <c r="G210" s="88"/>
      <c r="H210" s="88"/>
      <c r="I210" s="88">
        <v>1</v>
      </c>
      <c r="J210" s="88"/>
      <c r="K210" s="88"/>
      <c r="L210" s="88"/>
    </row>
    <row r="211" ht="16.5" hidden="1" spans="1:12">
      <c r="A211" s="97" t="s">
        <v>855</v>
      </c>
      <c r="B211" s="87" t="s">
        <v>856</v>
      </c>
      <c r="C211" s="88">
        <f t="shared" si="19"/>
        <v>15.906661</v>
      </c>
      <c r="D211" s="88">
        <v>14.884237</v>
      </c>
      <c r="E211" s="88">
        <v>0.972424</v>
      </c>
      <c r="F211" s="88"/>
      <c r="G211" s="88"/>
      <c r="H211" s="88"/>
      <c r="I211" s="88">
        <v>0.05</v>
      </c>
      <c r="J211" s="88"/>
      <c r="K211" s="88"/>
      <c r="L211" s="88"/>
    </row>
    <row r="212" ht="16.5" hidden="1" spans="1:12">
      <c r="A212" s="97" t="s">
        <v>857</v>
      </c>
      <c r="B212" s="87" t="s">
        <v>858</v>
      </c>
      <c r="C212" s="88">
        <f t="shared" si="19"/>
        <v>40.878354</v>
      </c>
      <c r="D212" s="88">
        <v>31.804346</v>
      </c>
      <c r="E212" s="88">
        <v>8.974008</v>
      </c>
      <c r="F212" s="88"/>
      <c r="G212" s="88"/>
      <c r="H212" s="88"/>
      <c r="I212" s="88">
        <v>0.1</v>
      </c>
      <c r="J212" s="88"/>
      <c r="K212" s="88"/>
      <c r="L212" s="88"/>
    </row>
    <row r="213" ht="16.5" hidden="1" spans="1:12">
      <c r="A213" s="97" t="s">
        <v>859</v>
      </c>
      <c r="B213" s="87" t="s">
        <v>860</v>
      </c>
      <c r="C213" s="88">
        <f t="shared" si="19"/>
        <v>33.533517</v>
      </c>
      <c r="D213" s="88">
        <v>31.464333</v>
      </c>
      <c r="E213" s="88">
        <v>1.969184</v>
      </c>
      <c r="F213" s="88"/>
      <c r="G213" s="88"/>
      <c r="H213" s="88"/>
      <c r="I213" s="88">
        <v>0.1</v>
      </c>
      <c r="J213" s="88"/>
      <c r="K213" s="88"/>
      <c r="L213" s="88"/>
    </row>
    <row r="214" ht="16.5" hidden="1" spans="1:12">
      <c r="A214" s="97" t="s">
        <v>862</v>
      </c>
      <c r="B214" s="87" t="s">
        <v>2237</v>
      </c>
      <c r="C214" s="88">
        <f t="shared" si="19"/>
        <v>14979.777093</v>
      </c>
      <c r="D214" s="88">
        <v>3673.955657</v>
      </c>
      <c r="E214" s="88">
        <v>3543.044206</v>
      </c>
      <c r="F214" s="88">
        <v>188.91723</v>
      </c>
      <c r="G214" s="88"/>
      <c r="H214" s="88"/>
      <c r="I214" s="88">
        <v>7573.86</v>
      </c>
      <c r="J214" s="88"/>
      <c r="K214" s="88"/>
      <c r="L214" s="88"/>
    </row>
    <row r="215" ht="16.5" hidden="1" spans="1:12">
      <c r="A215" s="97" t="s">
        <v>864</v>
      </c>
      <c r="B215" s="87" t="s">
        <v>865</v>
      </c>
      <c r="C215" s="88">
        <f t="shared" si="19"/>
        <v>269.942229</v>
      </c>
      <c r="D215" s="88">
        <v>216.655801</v>
      </c>
      <c r="E215" s="88">
        <v>36.190928</v>
      </c>
      <c r="F215" s="88">
        <v>17.0955</v>
      </c>
      <c r="G215" s="88"/>
      <c r="H215" s="88"/>
      <c r="I215" s="88"/>
      <c r="J215" s="88"/>
      <c r="K215" s="88"/>
      <c r="L215" s="88"/>
    </row>
    <row r="216" ht="16.5" hidden="1" spans="1:12">
      <c r="A216" s="98" t="s">
        <v>866</v>
      </c>
      <c r="B216" s="96" t="s">
        <v>867</v>
      </c>
      <c r="C216" s="88">
        <f t="shared" si="19"/>
        <v>13.445669</v>
      </c>
      <c r="D216" s="88">
        <v>12.458525</v>
      </c>
      <c r="E216" s="88">
        <v>0.887144</v>
      </c>
      <c r="F216" s="88"/>
      <c r="G216" s="88"/>
      <c r="H216" s="88"/>
      <c r="I216" s="88">
        <v>0.1</v>
      </c>
      <c r="J216" s="88"/>
      <c r="K216" s="88"/>
      <c r="L216" s="88"/>
    </row>
    <row r="217" ht="16.5" hidden="1" spans="1:12">
      <c r="A217" s="97" t="s">
        <v>868</v>
      </c>
      <c r="B217" s="87" t="s">
        <v>869</v>
      </c>
      <c r="C217" s="88">
        <f t="shared" si="19"/>
        <v>111.479605</v>
      </c>
      <c r="D217" s="88">
        <v>99.943329</v>
      </c>
      <c r="E217" s="88">
        <v>8.522776</v>
      </c>
      <c r="F217" s="88">
        <v>3.0135</v>
      </c>
      <c r="G217" s="88"/>
      <c r="H217" s="88"/>
      <c r="I217" s="88"/>
      <c r="J217" s="88"/>
      <c r="K217" s="88"/>
      <c r="L217" s="88"/>
    </row>
    <row r="218" ht="16.5" hidden="1" spans="1:12">
      <c r="A218" s="97" t="s">
        <v>870</v>
      </c>
      <c r="B218" s="87" t="s">
        <v>871</v>
      </c>
      <c r="C218" s="88">
        <f t="shared" si="19"/>
        <v>106.198718</v>
      </c>
      <c r="D218" s="88">
        <v>99.486086</v>
      </c>
      <c r="E218" s="88">
        <v>6.712632</v>
      </c>
      <c r="F218" s="88"/>
      <c r="G218" s="88"/>
      <c r="H218" s="88"/>
      <c r="I218" s="88"/>
      <c r="J218" s="88"/>
      <c r="K218" s="88"/>
      <c r="L218" s="88"/>
    </row>
    <row r="219" ht="16.5" hidden="1" spans="1:12">
      <c r="A219" s="97" t="s">
        <v>872</v>
      </c>
      <c r="B219" s="87" t="s">
        <v>873</v>
      </c>
      <c r="C219" s="88">
        <f t="shared" si="19"/>
        <v>165.469841</v>
      </c>
      <c r="D219" s="88">
        <v>155.521037</v>
      </c>
      <c r="E219" s="88">
        <v>9.948804</v>
      </c>
      <c r="F219" s="88"/>
      <c r="G219" s="88"/>
      <c r="H219" s="88"/>
      <c r="I219" s="88"/>
      <c r="J219" s="88"/>
      <c r="K219" s="88"/>
      <c r="L219" s="88"/>
    </row>
    <row r="220" ht="16.5" hidden="1" spans="1:12">
      <c r="A220" s="97" t="s">
        <v>874</v>
      </c>
      <c r="B220" s="87" t="s">
        <v>875</v>
      </c>
      <c r="C220" s="88">
        <f t="shared" si="19"/>
        <v>34.14204</v>
      </c>
      <c r="D220" s="88">
        <v>32.05888</v>
      </c>
      <c r="E220" s="88">
        <v>2.08316</v>
      </c>
      <c r="F220" s="88"/>
      <c r="G220" s="88"/>
      <c r="H220" s="88"/>
      <c r="I220" s="88"/>
      <c r="J220" s="88"/>
      <c r="K220" s="88"/>
      <c r="L220" s="88"/>
    </row>
    <row r="221" ht="16.5" hidden="1" spans="1:12">
      <c r="A221" s="97" t="s">
        <v>877</v>
      </c>
      <c r="B221" s="87" t="s">
        <v>2238</v>
      </c>
      <c r="C221" s="88">
        <f t="shared" si="19"/>
        <v>2889.468029</v>
      </c>
      <c r="D221" s="88">
        <v>592.984727</v>
      </c>
      <c r="E221" s="88">
        <v>1545.994711</v>
      </c>
      <c r="F221" s="88">
        <v>135.488591</v>
      </c>
      <c r="G221" s="88"/>
      <c r="H221" s="88"/>
      <c r="I221" s="88">
        <v>615</v>
      </c>
      <c r="J221" s="88"/>
      <c r="K221" s="88"/>
      <c r="L221" s="88"/>
    </row>
    <row r="222" ht="16.5" hidden="1" spans="1:12">
      <c r="A222" s="97" t="s">
        <v>879</v>
      </c>
      <c r="B222" s="87" t="s">
        <v>880</v>
      </c>
      <c r="C222" s="88">
        <f t="shared" si="19"/>
        <v>243.437463</v>
      </c>
      <c r="D222" s="88">
        <v>193.154007</v>
      </c>
      <c r="E222" s="88">
        <v>41.242956</v>
      </c>
      <c r="F222" s="88">
        <v>9.0405</v>
      </c>
      <c r="G222" s="88"/>
      <c r="H222" s="88"/>
      <c r="I222" s="88"/>
      <c r="J222" s="88"/>
      <c r="K222" s="88"/>
      <c r="L222" s="88"/>
    </row>
    <row r="223" ht="16.5" hidden="1" spans="1:12">
      <c r="A223" s="97" t="s">
        <v>881</v>
      </c>
      <c r="B223" s="87" t="s">
        <v>882</v>
      </c>
      <c r="C223" s="88">
        <f t="shared" si="19"/>
        <v>16.235264</v>
      </c>
      <c r="D223" s="88">
        <v>15.205569</v>
      </c>
      <c r="E223" s="88">
        <v>1.029695</v>
      </c>
      <c r="F223" s="88"/>
      <c r="G223" s="88"/>
      <c r="H223" s="88"/>
      <c r="I223" s="88"/>
      <c r="J223" s="88"/>
      <c r="K223" s="88"/>
      <c r="L223" s="88"/>
    </row>
    <row r="224" ht="16.5" hidden="1" spans="1:12">
      <c r="A224" s="97" t="s">
        <v>883</v>
      </c>
      <c r="B224" s="87" t="s">
        <v>884</v>
      </c>
      <c r="C224" s="88">
        <f t="shared" si="19"/>
        <v>42.577476</v>
      </c>
      <c r="D224" s="88">
        <v>33.474894</v>
      </c>
      <c r="E224" s="88">
        <v>2.102582</v>
      </c>
      <c r="F224" s="88">
        <v>7</v>
      </c>
      <c r="G224" s="88"/>
      <c r="H224" s="88"/>
      <c r="I224" s="88"/>
      <c r="J224" s="88"/>
      <c r="K224" s="88"/>
      <c r="L224" s="88"/>
    </row>
    <row r="225" ht="16.5" hidden="1" spans="1:12">
      <c r="A225" s="97" t="s">
        <v>885</v>
      </c>
      <c r="B225" s="87" t="s">
        <v>886</v>
      </c>
      <c r="C225" s="88">
        <f t="shared" si="19"/>
        <v>32.84713</v>
      </c>
      <c r="D225" s="88">
        <v>30.782522</v>
      </c>
      <c r="E225" s="88">
        <v>2.064608</v>
      </c>
      <c r="F225" s="88"/>
      <c r="G225" s="88"/>
      <c r="H225" s="88"/>
      <c r="I225" s="88"/>
      <c r="J225" s="88"/>
      <c r="K225" s="88"/>
      <c r="L225" s="88"/>
    </row>
    <row r="226" ht="16.5" hidden="1" spans="1:12">
      <c r="A226" s="97" t="s">
        <v>888</v>
      </c>
      <c r="B226" s="87" t="s">
        <v>2239</v>
      </c>
      <c r="C226" s="88">
        <f t="shared" si="19"/>
        <v>13336.289057</v>
      </c>
      <c r="D226" s="88">
        <v>1076.186533</v>
      </c>
      <c r="E226" s="88">
        <v>12095.255066</v>
      </c>
      <c r="F226" s="88">
        <v>155.847458</v>
      </c>
      <c r="G226" s="88"/>
      <c r="H226" s="88"/>
      <c r="I226" s="88">
        <v>9</v>
      </c>
      <c r="J226" s="88"/>
      <c r="K226" s="88"/>
      <c r="L226" s="88"/>
    </row>
    <row r="227" ht="16.5" hidden="1" spans="1:12">
      <c r="A227" s="97" t="s">
        <v>890</v>
      </c>
      <c r="B227" s="87" t="s">
        <v>891</v>
      </c>
      <c r="C227" s="88">
        <f t="shared" si="19"/>
        <v>274.028884</v>
      </c>
      <c r="D227" s="88">
        <v>223.66288</v>
      </c>
      <c r="E227" s="88">
        <v>38.312004</v>
      </c>
      <c r="F227" s="88">
        <v>12.054</v>
      </c>
      <c r="G227" s="88"/>
      <c r="H227" s="88"/>
      <c r="I227" s="88"/>
      <c r="J227" s="88"/>
      <c r="K227" s="88"/>
      <c r="L227" s="88"/>
    </row>
    <row r="228" ht="16.5" hidden="1" spans="1:12">
      <c r="A228" s="98" t="s">
        <v>892</v>
      </c>
      <c r="B228" s="96" t="s">
        <v>893</v>
      </c>
      <c r="C228" s="88">
        <f t="shared" si="19"/>
        <v>17.76869</v>
      </c>
      <c r="D228" s="88">
        <v>16.066918</v>
      </c>
      <c r="E228" s="88">
        <v>1.701772</v>
      </c>
      <c r="F228" s="88"/>
      <c r="G228" s="88"/>
      <c r="H228" s="88"/>
      <c r="I228" s="88"/>
      <c r="J228" s="88"/>
      <c r="K228" s="88"/>
      <c r="L228" s="88"/>
    </row>
    <row r="229" ht="16.5" hidden="1" spans="1:12">
      <c r="A229" s="97" t="s">
        <v>894</v>
      </c>
      <c r="B229" s="87" t="s">
        <v>895</v>
      </c>
      <c r="C229" s="88">
        <f t="shared" si="19"/>
        <v>99.785981</v>
      </c>
      <c r="D229" s="88">
        <v>92.923757</v>
      </c>
      <c r="E229" s="88">
        <v>6.862224</v>
      </c>
      <c r="F229" s="88"/>
      <c r="G229" s="88"/>
      <c r="H229" s="88"/>
      <c r="I229" s="88"/>
      <c r="J229" s="88"/>
      <c r="K229" s="88"/>
      <c r="L229" s="88"/>
    </row>
    <row r="230" ht="16.5" hidden="1" spans="1:12">
      <c r="A230" s="97" t="s">
        <v>896</v>
      </c>
      <c r="B230" s="87" t="s">
        <v>897</v>
      </c>
      <c r="C230" s="88">
        <f t="shared" si="19"/>
        <v>106.189139</v>
      </c>
      <c r="D230" s="88">
        <v>99.492803</v>
      </c>
      <c r="E230" s="88">
        <v>6.696336</v>
      </c>
      <c r="F230" s="88"/>
      <c r="G230" s="88"/>
      <c r="H230" s="88"/>
      <c r="I230" s="88"/>
      <c r="J230" s="88"/>
      <c r="K230" s="88"/>
      <c r="L230" s="88"/>
    </row>
    <row r="231" ht="16.5" hidden="1" spans="1:12">
      <c r="A231" s="97" t="s">
        <v>898</v>
      </c>
      <c r="B231" s="87" t="s">
        <v>899</v>
      </c>
      <c r="C231" s="88">
        <f t="shared" si="19"/>
        <v>206.393441</v>
      </c>
      <c r="D231" s="88">
        <v>188.355277</v>
      </c>
      <c r="E231" s="88">
        <v>12.011164</v>
      </c>
      <c r="F231" s="88">
        <v>6.027</v>
      </c>
      <c r="G231" s="88"/>
      <c r="H231" s="88"/>
      <c r="I231" s="88"/>
      <c r="J231" s="88"/>
      <c r="K231" s="88"/>
      <c r="L231" s="88"/>
    </row>
    <row r="232" ht="16.5" hidden="1" spans="1:12">
      <c r="A232" s="97" t="s">
        <v>900</v>
      </c>
      <c r="B232" s="87" t="s">
        <v>901</v>
      </c>
      <c r="C232" s="88">
        <f t="shared" si="19"/>
        <v>33.50963</v>
      </c>
      <c r="D232" s="88">
        <v>31.435878</v>
      </c>
      <c r="E232" s="88">
        <v>2.073752</v>
      </c>
      <c r="F232" s="88"/>
      <c r="G232" s="88"/>
      <c r="H232" s="88"/>
      <c r="I232" s="88"/>
      <c r="J232" s="88"/>
      <c r="K232" s="88"/>
      <c r="L232" s="88"/>
    </row>
    <row r="233" ht="16.5" hidden="1" spans="1:12">
      <c r="A233" s="97" t="s">
        <v>903</v>
      </c>
      <c r="B233" s="87" t="s">
        <v>2240</v>
      </c>
      <c r="C233" s="88">
        <f t="shared" si="19"/>
        <v>3102.786837</v>
      </c>
      <c r="D233" s="88">
        <v>910.070054</v>
      </c>
      <c r="E233" s="88">
        <v>972.782538</v>
      </c>
      <c r="F233" s="88">
        <v>204.684245</v>
      </c>
      <c r="G233" s="88"/>
      <c r="H233" s="88"/>
      <c r="I233" s="88">
        <v>105.04</v>
      </c>
      <c r="J233" s="88"/>
      <c r="K233" s="88"/>
      <c r="L233" s="88">
        <v>910.21</v>
      </c>
    </row>
    <row r="234" ht="16.5" hidden="1" spans="1:12">
      <c r="A234" s="97" t="s">
        <v>905</v>
      </c>
      <c r="B234" s="87" t="s">
        <v>906</v>
      </c>
      <c r="C234" s="88">
        <f t="shared" si="19"/>
        <v>304.563559</v>
      </c>
      <c r="D234" s="88">
        <v>206.518559</v>
      </c>
      <c r="E234" s="88">
        <v>77.6396</v>
      </c>
      <c r="F234" s="88">
        <v>19.095</v>
      </c>
      <c r="G234" s="88"/>
      <c r="H234" s="88"/>
      <c r="I234" s="88">
        <v>1.3104</v>
      </c>
      <c r="J234" s="88"/>
      <c r="K234" s="88"/>
      <c r="L234" s="88"/>
    </row>
    <row r="235" ht="16.5" hidden="1" spans="1:12">
      <c r="A235" s="97" t="s">
        <v>907</v>
      </c>
      <c r="B235" s="87" t="s">
        <v>908</v>
      </c>
      <c r="C235" s="88">
        <f t="shared" si="19"/>
        <v>126.647101</v>
      </c>
      <c r="D235" s="88">
        <v>107.816397</v>
      </c>
      <c r="E235" s="88">
        <v>6.171904</v>
      </c>
      <c r="F235" s="88">
        <v>12.054</v>
      </c>
      <c r="G235" s="88"/>
      <c r="H235" s="88"/>
      <c r="I235" s="88">
        <v>0.6048</v>
      </c>
      <c r="J235" s="88"/>
      <c r="K235" s="88"/>
      <c r="L235" s="88"/>
    </row>
    <row r="236" ht="16.5" hidden="1" spans="1:12">
      <c r="A236" s="97" t="s">
        <v>909</v>
      </c>
      <c r="B236" s="87" t="s">
        <v>910</v>
      </c>
      <c r="C236" s="88">
        <f t="shared" si="19"/>
        <v>15.883188</v>
      </c>
      <c r="D236" s="88">
        <v>14.858528</v>
      </c>
      <c r="E236" s="88">
        <v>0.92386</v>
      </c>
      <c r="F236" s="88"/>
      <c r="G236" s="88"/>
      <c r="H236" s="88"/>
      <c r="I236" s="88">
        <v>0.1008</v>
      </c>
      <c r="J236" s="88"/>
      <c r="K236" s="88"/>
      <c r="L236" s="88"/>
    </row>
    <row r="237" ht="16.5" hidden="1" spans="1:12">
      <c r="A237" s="97" t="s">
        <v>911</v>
      </c>
      <c r="B237" s="87" t="s">
        <v>912</v>
      </c>
      <c r="C237" s="88">
        <f t="shared" si="19"/>
        <v>51.118226</v>
      </c>
      <c r="D237" s="88">
        <v>47.995334</v>
      </c>
      <c r="E237" s="88">
        <v>2.820492</v>
      </c>
      <c r="F237" s="88"/>
      <c r="G237" s="88"/>
      <c r="H237" s="88"/>
      <c r="I237" s="88">
        <v>0.3024</v>
      </c>
      <c r="J237" s="88"/>
      <c r="K237" s="88"/>
      <c r="L237" s="88"/>
    </row>
    <row r="238" ht="16.5" hidden="1" spans="1:12">
      <c r="A238" s="97" t="s">
        <v>913</v>
      </c>
      <c r="B238" s="87" t="s">
        <v>914</v>
      </c>
      <c r="C238" s="88">
        <f t="shared" si="19"/>
        <v>34.18247</v>
      </c>
      <c r="D238" s="88">
        <v>32.098758</v>
      </c>
      <c r="E238" s="88">
        <v>1.882112</v>
      </c>
      <c r="F238" s="88"/>
      <c r="G238" s="88"/>
      <c r="H238" s="88"/>
      <c r="I238" s="88">
        <v>0.2016</v>
      </c>
      <c r="J238" s="88"/>
      <c r="K238" s="88"/>
      <c r="L238" s="88"/>
    </row>
    <row r="239" ht="16.5" hidden="1" spans="1:12">
      <c r="A239" s="97" t="s">
        <v>915</v>
      </c>
      <c r="B239" s="87" t="s">
        <v>916</v>
      </c>
      <c r="C239" s="88">
        <f t="shared" si="19"/>
        <v>81.186924</v>
      </c>
      <c r="D239" s="88">
        <v>74.019736</v>
      </c>
      <c r="E239" s="88">
        <v>3.851288</v>
      </c>
      <c r="F239" s="88">
        <v>3.0135</v>
      </c>
      <c r="G239" s="88"/>
      <c r="H239" s="88"/>
      <c r="I239" s="88">
        <v>0.3024</v>
      </c>
      <c r="J239" s="88"/>
      <c r="K239" s="88"/>
      <c r="L239" s="88"/>
    </row>
    <row r="240" ht="16.5" hidden="1" spans="1:12">
      <c r="A240" s="97" t="s">
        <v>918</v>
      </c>
      <c r="B240" s="87" t="s">
        <v>2241</v>
      </c>
      <c r="C240" s="88">
        <f t="shared" si="19"/>
        <v>2289.725422</v>
      </c>
      <c r="D240" s="88">
        <v>576.442745</v>
      </c>
      <c r="E240" s="88">
        <v>778.879781</v>
      </c>
      <c r="F240" s="88">
        <v>681.562896</v>
      </c>
      <c r="G240" s="88"/>
      <c r="H240" s="88"/>
      <c r="I240" s="88">
        <v>252.84</v>
      </c>
      <c r="J240" s="88"/>
      <c r="K240" s="88"/>
      <c r="L240" s="88"/>
    </row>
    <row r="241" ht="16.5" hidden="1" spans="1:12">
      <c r="A241" s="97" t="s">
        <v>920</v>
      </c>
      <c r="B241" s="87" t="s">
        <v>921</v>
      </c>
      <c r="C241" s="88">
        <f t="shared" si="19"/>
        <v>293.042164</v>
      </c>
      <c r="D241" s="88">
        <v>231.91048</v>
      </c>
      <c r="E241" s="88">
        <v>47.787684</v>
      </c>
      <c r="F241" s="88">
        <v>12.054</v>
      </c>
      <c r="G241" s="88"/>
      <c r="H241" s="88"/>
      <c r="I241" s="88">
        <v>1.29</v>
      </c>
      <c r="J241" s="88"/>
      <c r="K241" s="88"/>
      <c r="L241" s="88"/>
    </row>
    <row r="242" ht="16.5" hidden="1" spans="1:12">
      <c r="A242" s="97" t="s">
        <v>922</v>
      </c>
      <c r="B242" s="87" t="s">
        <v>923</v>
      </c>
      <c r="C242" s="88">
        <f t="shared" si="19"/>
        <v>15.701436</v>
      </c>
      <c r="D242" s="88">
        <v>14.679296</v>
      </c>
      <c r="E242" s="88">
        <v>0.92134</v>
      </c>
      <c r="F242" s="88"/>
      <c r="G242" s="88"/>
      <c r="H242" s="88"/>
      <c r="I242" s="88">
        <v>0.1008</v>
      </c>
      <c r="J242" s="88"/>
      <c r="K242" s="88"/>
      <c r="L242" s="88"/>
    </row>
    <row r="243" ht="16.5" hidden="1" spans="1:12">
      <c r="A243" s="97" t="s">
        <v>924</v>
      </c>
      <c r="B243" s="87" t="s">
        <v>925</v>
      </c>
      <c r="C243" s="88">
        <f t="shared" si="19"/>
        <v>42.728011</v>
      </c>
      <c r="D243" s="88">
        <v>30.531375</v>
      </c>
      <c r="E243" s="88">
        <v>8.981536</v>
      </c>
      <c r="F243" s="88">
        <v>3.0135</v>
      </c>
      <c r="G243" s="88"/>
      <c r="H243" s="88"/>
      <c r="I243" s="88">
        <v>0.2016</v>
      </c>
      <c r="J243" s="88"/>
      <c r="K243" s="88"/>
      <c r="L243" s="88"/>
    </row>
    <row r="244" ht="16.5" hidden="1" spans="1:12">
      <c r="A244" s="97" t="s">
        <v>926</v>
      </c>
      <c r="B244" s="87" t="s">
        <v>927</v>
      </c>
      <c r="C244" s="88">
        <f t="shared" si="19"/>
        <v>34.160866</v>
      </c>
      <c r="D244" s="88">
        <v>32.077658</v>
      </c>
      <c r="E244" s="88">
        <v>1.881608</v>
      </c>
      <c r="F244" s="88"/>
      <c r="G244" s="88"/>
      <c r="H244" s="88"/>
      <c r="I244" s="88">
        <v>0.2016</v>
      </c>
      <c r="J244" s="88"/>
      <c r="K244" s="88"/>
      <c r="L244" s="88"/>
    </row>
    <row r="245" ht="16.5" hidden="1" spans="1:12">
      <c r="A245" s="97" t="s">
        <v>929</v>
      </c>
      <c r="B245" s="87" t="s">
        <v>2242</v>
      </c>
      <c r="C245" s="88">
        <f t="shared" si="19"/>
        <v>2552.72929</v>
      </c>
      <c r="D245" s="88">
        <v>616.340427</v>
      </c>
      <c r="E245" s="88">
        <v>601.798663</v>
      </c>
      <c r="F245" s="88">
        <v>661.0322</v>
      </c>
      <c r="G245" s="88"/>
      <c r="H245" s="88"/>
      <c r="I245" s="88">
        <v>673.558</v>
      </c>
      <c r="J245" s="88"/>
      <c r="K245" s="88"/>
      <c r="L245" s="88"/>
    </row>
    <row r="246" ht="16.5" hidden="1" spans="1:12">
      <c r="A246" s="97" t="s">
        <v>931</v>
      </c>
      <c r="B246" s="87" t="s">
        <v>932</v>
      </c>
      <c r="C246" s="88">
        <f t="shared" si="19"/>
        <v>265.587554</v>
      </c>
      <c r="D246" s="88">
        <v>211.388414</v>
      </c>
      <c r="E246" s="88">
        <v>36.80724</v>
      </c>
      <c r="F246" s="88">
        <v>16.0815</v>
      </c>
      <c r="G246" s="88"/>
      <c r="H246" s="88"/>
      <c r="I246" s="88">
        <v>1.3104</v>
      </c>
      <c r="J246" s="88"/>
      <c r="K246" s="88"/>
      <c r="L246" s="88"/>
    </row>
    <row r="247" ht="16.5" hidden="1" spans="1:12">
      <c r="A247" s="97" t="s">
        <v>933</v>
      </c>
      <c r="B247" s="87" t="s">
        <v>934</v>
      </c>
      <c r="C247" s="88">
        <f t="shared" si="19"/>
        <v>16.522664</v>
      </c>
      <c r="D247" s="88">
        <v>15.491264</v>
      </c>
      <c r="E247" s="88">
        <v>0.9306</v>
      </c>
      <c r="F247" s="88"/>
      <c r="G247" s="88"/>
      <c r="H247" s="88"/>
      <c r="I247" s="88">
        <v>0.1008</v>
      </c>
      <c r="J247" s="88"/>
      <c r="K247" s="88"/>
      <c r="L247" s="88"/>
    </row>
    <row r="248" ht="16.5" hidden="1" spans="1:12">
      <c r="A248" s="97" t="s">
        <v>935</v>
      </c>
      <c r="B248" s="87" t="s">
        <v>936</v>
      </c>
      <c r="C248" s="88">
        <f t="shared" si="19"/>
        <v>45.942844</v>
      </c>
      <c r="D248" s="88">
        <v>33.719312</v>
      </c>
      <c r="E248" s="88">
        <v>2.008432</v>
      </c>
      <c r="F248" s="88">
        <v>10.0135</v>
      </c>
      <c r="G248" s="88"/>
      <c r="H248" s="88"/>
      <c r="I248" s="88">
        <v>0.2016</v>
      </c>
      <c r="J248" s="88"/>
      <c r="K248" s="88"/>
      <c r="L248" s="88"/>
    </row>
    <row r="249" ht="16.5" hidden="1" spans="1:12">
      <c r="A249" s="97" t="s">
        <v>937</v>
      </c>
      <c r="B249" s="87" t="s">
        <v>938</v>
      </c>
      <c r="C249" s="88">
        <f t="shared" si="19"/>
        <v>33.913086</v>
      </c>
      <c r="D249" s="88">
        <v>31.838214</v>
      </c>
      <c r="E249" s="88">
        <v>1.873272</v>
      </c>
      <c r="F249" s="88"/>
      <c r="G249" s="88"/>
      <c r="H249" s="88"/>
      <c r="I249" s="88">
        <v>0.2016</v>
      </c>
      <c r="J249" s="88"/>
      <c r="K249" s="88"/>
      <c r="L249" s="88"/>
    </row>
    <row r="250" ht="16.5" hidden="1" spans="1:12">
      <c r="A250" s="97" t="s">
        <v>940</v>
      </c>
      <c r="B250" s="87" t="s">
        <v>2243</v>
      </c>
      <c r="C250" s="88">
        <f t="shared" si="19"/>
        <v>6345.429116</v>
      </c>
      <c r="D250" s="88">
        <v>930.610945</v>
      </c>
      <c r="E250" s="88">
        <v>3489.412231</v>
      </c>
      <c r="F250" s="88">
        <v>247.40594</v>
      </c>
      <c r="G250" s="88"/>
      <c r="H250" s="88"/>
      <c r="I250" s="88">
        <v>1678</v>
      </c>
      <c r="J250" s="88"/>
      <c r="K250" s="88"/>
      <c r="L250" s="88"/>
    </row>
    <row r="251" ht="16.5" hidden="1" spans="1:12">
      <c r="A251" s="97" t="s">
        <v>942</v>
      </c>
      <c r="B251" s="87" t="s">
        <v>943</v>
      </c>
      <c r="C251" s="88">
        <f t="shared" si="19"/>
        <v>242.345846</v>
      </c>
      <c r="D251" s="88">
        <v>181.256518</v>
      </c>
      <c r="E251" s="88">
        <v>37.966828</v>
      </c>
      <c r="F251" s="88">
        <v>23.1225</v>
      </c>
      <c r="G251" s="88"/>
      <c r="H251" s="88"/>
      <c r="I251" s="88"/>
      <c r="J251" s="88"/>
      <c r="K251" s="88"/>
      <c r="L251" s="88"/>
    </row>
    <row r="252" ht="16.5" hidden="1" spans="1:12">
      <c r="A252" s="97" t="s">
        <v>944</v>
      </c>
      <c r="B252" s="87" t="s">
        <v>945</v>
      </c>
      <c r="C252" s="88">
        <f t="shared" si="19"/>
        <v>321.972379</v>
      </c>
      <c r="D252" s="88">
        <v>299.299287</v>
      </c>
      <c r="E252" s="88">
        <v>19.659592</v>
      </c>
      <c r="F252" s="88">
        <v>3.0135</v>
      </c>
      <c r="G252" s="88"/>
      <c r="H252" s="88"/>
      <c r="I252" s="88"/>
      <c r="J252" s="88"/>
      <c r="K252" s="88"/>
      <c r="L252" s="88"/>
    </row>
    <row r="253" ht="16.5" hidden="1" spans="1:12">
      <c r="A253" s="97" t="s">
        <v>946</v>
      </c>
      <c r="B253" s="87" t="s">
        <v>947</v>
      </c>
      <c r="C253" s="88">
        <f t="shared" si="19"/>
        <v>481.069268</v>
      </c>
      <c r="D253" s="88">
        <v>141.816528</v>
      </c>
      <c r="E253" s="88">
        <v>333.22574</v>
      </c>
      <c r="F253" s="88">
        <v>6.027</v>
      </c>
      <c r="G253" s="88"/>
      <c r="H253" s="88"/>
      <c r="I253" s="88"/>
      <c r="J253" s="88"/>
      <c r="K253" s="88"/>
      <c r="L253" s="88"/>
    </row>
    <row r="254" ht="16.5" hidden="1" spans="1:12">
      <c r="A254" s="97" t="s">
        <v>948</v>
      </c>
      <c r="B254" s="87" t="s">
        <v>949</v>
      </c>
      <c r="C254" s="88">
        <f t="shared" si="19"/>
        <v>99.524182</v>
      </c>
      <c r="D254" s="88">
        <v>92.6714</v>
      </c>
      <c r="E254" s="88">
        <v>6.852782</v>
      </c>
      <c r="F254" s="88"/>
      <c r="G254" s="88"/>
      <c r="H254" s="88"/>
      <c r="I254" s="88"/>
      <c r="J254" s="88"/>
      <c r="K254" s="88"/>
      <c r="L254" s="88"/>
    </row>
    <row r="255" ht="16.5" hidden="1" spans="1:12">
      <c r="A255" s="97" t="s">
        <v>951</v>
      </c>
      <c r="B255" s="87" t="s">
        <v>2244</v>
      </c>
      <c r="C255" s="88">
        <f t="shared" ref="C255:C278" si="20">SUM(D255:L255)</f>
        <v>5921.635477</v>
      </c>
      <c r="D255" s="88">
        <v>700.703786</v>
      </c>
      <c r="E255" s="88">
        <v>2431.768511</v>
      </c>
      <c r="F255" s="88">
        <v>109.16318</v>
      </c>
      <c r="G255" s="88"/>
      <c r="H255" s="88"/>
      <c r="I255" s="88">
        <v>2680</v>
      </c>
      <c r="J255" s="88"/>
      <c r="K255" s="88"/>
      <c r="L255" s="88"/>
    </row>
    <row r="256" ht="16.5" hidden="1" spans="1:12">
      <c r="A256" s="97" t="s">
        <v>953</v>
      </c>
      <c r="B256" s="87" t="s">
        <v>954</v>
      </c>
      <c r="C256" s="88">
        <f t="shared" si="20"/>
        <v>292.96846</v>
      </c>
      <c r="D256" s="88">
        <v>232.959672</v>
      </c>
      <c r="E256" s="88">
        <v>38.914288</v>
      </c>
      <c r="F256" s="88">
        <v>21.0945</v>
      </c>
      <c r="G256" s="88"/>
      <c r="H256" s="88"/>
      <c r="I256" s="88"/>
      <c r="J256" s="88"/>
      <c r="K256" s="88"/>
      <c r="L256" s="88"/>
    </row>
    <row r="257" ht="16.5" hidden="1" spans="1:12">
      <c r="A257" s="97" t="s">
        <v>955</v>
      </c>
      <c r="B257" s="87" t="s">
        <v>956</v>
      </c>
      <c r="C257" s="88">
        <f t="shared" si="20"/>
        <v>16.070302</v>
      </c>
      <c r="D257" s="88">
        <v>15.04567</v>
      </c>
      <c r="E257" s="88">
        <v>1.024632</v>
      </c>
      <c r="F257" s="88"/>
      <c r="G257" s="88"/>
      <c r="H257" s="88"/>
      <c r="I257" s="88"/>
      <c r="J257" s="88"/>
      <c r="K257" s="88"/>
      <c r="L257" s="88"/>
    </row>
    <row r="258" ht="16.5" hidden="1" spans="1:12">
      <c r="A258" s="97" t="s">
        <v>957</v>
      </c>
      <c r="B258" s="87" t="s">
        <v>958</v>
      </c>
      <c r="C258" s="88">
        <f t="shared" si="20"/>
        <v>80.458092</v>
      </c>
      <c r="D258" s="88">
        <v>65.779372</v>
      </c>
      <c r="E258" s="88">
        <v>14.67872</v>
      </c>
      <c r="F258" s="88"/>
      <c r="G258" s="88"/>
      <c r="H258" s="88"/>
      <c r="I258" s="88"/>
      <c r="J258" s="88"/>
      <c r="K258" s="88"/>
      <c r="L258" s="88"/>
    </row>
    <row r="259" ht="16.5" hidden="1" spans="1:12">
      <c r="A259" s="97" t="s">
        <v>959</v>
      </c>
      <c r="B259" s="87" t="s">
        <v>960</v>
      </c>
      <c r="C259" s="88">
        <f t="shared" si="20"/>
        <v>33.328979</v>
      </c>
      <c r="D259" s="88">
        <v>31.262963</v>
      </c>
      <c r="E259" s="88">
        <v>2.066016</v>
      </c>
      <c r="F259" s="88"/>
      <c r="G259" s="88"/>
      <c r="H259" s="88"/>
      <c r="I259" s="88"/>
      <c r="J259" s="88"/>
      <c r="K259" s="88"/>
      <c r="L259" s="88"/>
    </row>
    <row r="260" ht="16.5" hidden="1" spans="1:12">
      <c r="A260" s="97" t="s">
        <v>962</v>
      </c>
      <c r="B260" s="87" t="s">
        <v>2245</v>
      </c>
      <c r="C260" s="88">
        <f t="shared" si="20"/>
        <v>5036.552738</v>
      </c>
      <c r="D260" s="88">
        <v>2220.979164</v>
      </c>
      <c r="E260" s="88">
        <v>2584.81229</v>
      </c>
      <c r="F260" s="88">
        <v>217.461284</v>
      </c>
      <c r="G260" s="88"/>
      <c r="H260" s="88"/>
      <c r="I260" s="88">
        <v>13.3</v>
      </c>
      <c r="J260" s="88"/>
      <c r="K260" s="88"/>
      <c r="L260" s="88"/>
    </row>
    <row r="261" ht="16.5" hidden="1" spans="1:12">
      <c r="A261" s="97" t="s">
        <v>964</v>
      </c>
      <c r="B261" s="87" t="s">
        <v>965</v>
      </c>
      <c r="C261" s="88">
        <f t="shared" si="20"/>
        <v>314.356454</v>
      </c>
      <c r="D261" s="88">
        <v>229.004222</v>
      </c>
      <c r="E261" s="88">
        <v>36.136232</v>
      </c>
      <c r="F261" s="88">
        <v>48.216</v>
      </c>
      <c r="G261" s="88"/>
      <c r="H261" s="88"/>
      <c r="I261" s="88">
        <v>1</v>
      </c>
      <c r="J261" s="88"/>
      <c r="K261" s="88"/>
      <c r="L261" s="88"/>
    </row>
    <row r="262" ht="16.5" hidden="1" spans="1:12">
      <c r="A262" s="97" t="s">
        <v>966</v>
      </c>
      <c r="B262" s="87" t="s">
        <v>967</v>
      </c>
      <c r="C262" s="88">
        <f t="shared" si="20"/>
        <v>357.959782</v>
      </c>
      <c r="D262" s="88">
        <v>336.95705</v>
      </c>
      <c r="E262" s="88">
        <v>19.724728</v>
      </c>
      <c r="F262" s="88">
        <v>0.278004</v>
      </c>
      <c r="G262" s="88"/>
      <c r="H262" s="88"/>
      <c r="I262" s="88">
        <v>1</v>
      </c>
      <c r="J262" s="88"/>
      <c r="K262" s="88"/>
      <c r="L262" s="88"/>
    </row>
    <row r="263" ht="16.5" hidden="1" spans="1:12">
      <c r="A263" s="97" t="s">
        <v>968</v>
      </c>
      <c r="B263" s="87" t="s">
        <v>969</v>
      </c>
      <c r="C263" s="88">
        <f t="shared" si="20"/>
        <v>456.60183</v>
      </c>
      <c r="D263" s="88">
        <v>424.99269</v>
      </c>
      <c r="E263" s="88">
        <v>28.23564</v>
      </c>
      <c r="F263" s="88">
        <v>3.0135</v>
      </c>
      <c r="G263" s="88"/>
      <c r="H263" s="88"/>
      <c r="I263" s="88">
        <v>0.36</v>
      </c>
      <c r="J263" s="88"/>
      <c r="K263" s="88"/>
      <c r="L263" s="88"/>
    </row>
    <row r="264" ht="16.5" hidden="1" spans="1:12">
      <c r="A264" s="97" t="s">
        <v>970</v>
      </c>
      <c r="B264" s="87" t="s">
        <v>971</v>
      </c>
      <c r="C264" s="88">
        <f t="shared" si="20"/>
        <v>47.926558</v>
      </c>
      <c r="D264" s="88">
        <v>44.85097</v>
      </c>
      <c r="E264" s="88">
        <v>2.575588</v>
      </c>
      <c r="F264" s="88"/>
      <c r="G264" s="88"/>
      <c r="H264" s="88"/>
      <c r="I264" s="88">
        <v>0.5</v>
      </c>
      <c r="J264" s="88"/>
      <c r="K264" s="88"/>
      <c r="L264" s="88"/>
    </row>
    <row r="265" ht="16.5" hidden="1" spans="1:12">
      <c r="A265" s="97" t="s">
        <v>973</v>
      </c>
      <c r="B265" s="87" t="s">
        <v>974</v>
      </c>
      <c r="C265" s="88">
        <f t="shared" si="20"/>
        <v>284.028893</v>
      </c>
      <c r="D265" s="88">
        <v>235.718785</v>
      </c>
      <c r="E265" s="88">
        <v>33.242608</v>
      </c>
      <c r="F265" s="88">
        <v>15.0675</v>
      </c>
      <c r="G265" s="88"/>
      <c r="H265" s="88"/>
      <c r="I265" s="88"/>
      <c r="J265" s="88"/>
      <c r="K265" s="88"/>
      <c r="L265" s="88"/>
    </row>
    <row r="266" ht="16.5" hidden="1" spans="1:12">
      <c r="A266" s="97" t="s">
        <v>975</v>
      </c>
      <c r="B266" s="87" t="s">
        <v>2246</v>
      </c>
      <c r="C266" s="88">
        <f t="shared" si="20"/>
        <v>1774.399269</v>
      </c>
      <c r="D266" s="88">
        <v>266.574311</v>
      </c>
      <c r="E266" s="88">
        <v>1468.115638</v>
      </c>
      <c r="F266" s="88">
        <v>39.70932</v>
      </c>
      <c r="G266" s="88"/>
      <c r="H266" s="88"/>
      <c r="I266" s="88"/>
      <c r="J266" s="88"/>
      <c r="K266" s="88"/>
      <c r="L266" s="88"/>
    </row>
    <row r="267" ht="16.5" hidden="1" spans="1:12">
      <c r="A267" s="97" t="s">
        <v>977</v>
      </c>
      <c r="B267" s="87" t="s">
        <v>978</v>
      </c>
      <c r="C267" s="88">
        <f t="shared" si="20"/>
        <v>182.280055</v>
      </c>
      <c r="D267" s="88">
        <v>170.740979</v>
      </c>
      <c r="E267" s="88">
        <v>11.539076</v>
      </c>
      <c r="F267" s="88"/>
      <c r="G267" s="88"/>
      <c r="H267" s="88"/>
      <c r="I267" s="88"/>
      <c r="J267" s="88"/>
      <c r="K267" s="88"/>
      <c r="L267" s="88"/>
    </row>
    <row r="268" ht="16.5" hidden="1" spans="1:12">
      <c r="A268" s="97" t="s">
        <v>979</v>
      </c>
      <c r="B268" s="87" t="s">
        <v>980</v>
      </c>
      <c r="C268" s="88">
        <f t="shared" si="20"/>
        <v>373.883479</v>
      </c>
      <c r="D268" s="88">
        <v>350.369923</v>
      </c>
      <c r="E268" s="88">
        <v>23.513556</v>
      </c>
      <c r="F268" s="88"/>
      <c r="G268" s="88"/>
      <c r="H268" s="88"/>
      <c r="I268" s="88"/>
      <c r="J268" s="88"/>
      <c r="K268" s="88"/>
      <c r="L268" s="88"/>
    </row>
    <row r="269" ht="16.5" hidden="1" spans="1:12">
      <c r="A269" s="97" t="s">
        <v>981</v>
      </c>
      <c r="B269" s="87" t="s">
        <v>982</v>
      </c>
      <c r="C269" s="88">
        <f t="shared" si="20"/>
        <v>62.217708</v>
      </c>
      <c r="D269" s="88">
        <v>57.493008</v>
      </c>
      <c r="E269" s="88">
        <v>4.7247</v>
      </c>
      <c r="F269" s="88"/>
      <c r="G269" s="88"/>
      <c r="H269" s="88"/>
      <c r="I269" s="88"/>
      <c r="J269" s="88"/>
      <c r="K269" s="88"/>
      <c r="L269" s="88"/>
    </row>
    <row r="270" ht="16.5" hidden="1" spans="1:12">
      <c r="A270" s="97" t="s">
        <v>984</v>
      </c>
      <c r="B270" s="87" t="s">
        <v>985</v>
      </c>
      <c r="C270" s="88">
        <f t="shared" si="20"/>
        <v>1275.087284</v>
      </c>
      <c r="D270" s="88">
        <v>403.535528</v>
      </c>
      <c r="E270" s="88">
        <v>225.206356</v>
      </c>
      <c r="F270" s="88">
        <v>6.027</v>
      </c>
      <c r="G270" s="88"/>
      <c r="H270" s="88"/>
      <c r="I270" s="88">
        <v>402.3184</v>
      </c>
      <c r="J270" s="88">
        <v>238</v>
      </c>
      <c r="K270" s="88"/>
      <c r="L270" s="88"/>
    </row>
    <row r="271" ht="16.5" hidden="1" spans="1:12">
      <c r="A271" s="97" t="s">
        <v>986</v>
      </c>
      <c r="B271" s="87" t="s">
        <v>987</v>
      </c>
      <c r="C271" s="88">
        <f t="shared" si="20"/>
        <v>144.976006</v>
      </c>
      <c r="D271" s="88">
        <v>113.06955</v>
      </c>
      <c r="E271" s="88">
        <v>28.192956</v>
      </c>
      <c r="F271" s="88">
        <v>3.0135</v>
      </c>
      <c r="G271" s="88"/>
      <c r="H271" s="88"/>
      <c r="I271" s="88">
        <v>0.7</v>
      </c>
      <c r="J271" s="88"/>
      <c r="K271" s="88"/>
      <c r="L271" s="88"/>
    </row>
    <row r="272" ht="16.5" hidden="1" spans="1:12">
      <c r="A272" s="97" t="s">
        <v>988</v>
      </c>
      <c r="B272" s="87" t="s">
        <v>989</v>
      </c>
      <c r="C272" s="88">
        <f t="shared" si="20"/>
        <v>19.835076</v>
      </c>
      <c r="D272" s="88">
        <v>18.754976</v>
      </c>
      <c r="E272" s="88">
        <v>1.0301</v>
      </c>
      <c r="F272" s="88"/>
      <c r="G272" s="88"/>
      <c r="H272" s="88"/>
      <c r="I272" s="88">
        <v>0.05</v>
      </c>
      <c r="J272" s="88"/>
      <c r="K272" s="88"/>
      <c r="L272" s="88"/>
    </row>
    <row r="273" ht="16.5" hidden="1" spans="1:12">
      <c r="A273" s="97" t="s">
        <v>990</v>
      </c>
      <c r="B273" s="87" t="s">
        <v>991</v>
      </c>
      <c r="C273" s="88">
        <f t="shared" si="20"/>
        <v>15.568807</v>
      </c>
      <c r="D273" s="88">
        <v>14.548371</v>
      </c>
      <c r="E273" s="88">
        <v>0.920436</v>
      </c>
      <c r="F273" s="88"/>
      <c r="G273" s="88"/>
      <c r="H273" s="88"/>
      <c r="I273" s="88">
        <v>0.1</v>
      </c>
      <c r="J273" s="88"/>
      <c r="K273" s="88"/>
      <c r="L273" s="88"/>
    </row>
    <row r="274" ht="16.5" hidden="1" spans="1:12">
      <c r="A274" s="97" t="s">
        <v>992</v>
      </c>
      <c r="B274" s="87" t="s">
        <v>993</v>
      </c>
      <c r="C274" s="88">
        <f t="shared" si="20"/>
        <v>16.898858</v>
      </c>
      <c r="D274" s="88">
        <v>15.859846</v>
      </c>
      <c r="E274" s="88">
        <v>0.989012</v>
      </c>
      <c r="F274" s="88"/>
      <c r="G274" s="88"/>
      <c r="H274" s="88"/>
      <c r="I274" s="88">
        <v>0.05</v>
      </c>
      <c r="J274" s="88"/>
      <c r="K274" s="88"/>
      <c r="L274" s="88"/>
    </row>
    <row r="275" ht="16.5" hidden="1" spans="1:12">
      <c r="A275" s="97" t="s">
        <v>995</v>
      </c>
      <c r="B275" s="87" t="s">
        <v>1162</v>
      </c>
      <c r="C275" s="88">
        <f t="shared" si="20"/>
        <v>33427.497484</v>
      </c>
      <c r="D275" s="88">
        <v>643.38498</v>
      </c>
      <c r="E275" s="88">
        <v>15947.413474</v>
      </c>
      <c r="F275" s="88">
        <v>77.31903</v>
      </c>
      <c r="G275" s="88"/>
      <c r="H275" s="88"/>
      <c r="I275" s="88">
        <v>7659.88</v>
      </c>
      <c r="J275" s="88">
        <v>9099.5</v>
      </c>
      <c r="K275" s="88"/>
      <c r="L275" s="88"/>
    </row>
    <row r="276" ht="16.5" hidden="1" spans="1:12">
      <c r="A276" s="97" t="s">
        <v>997</v>
      </c>
      <c r="B276" s="87" t="s">
        <v>998</v>
      </c>
      <c r="C276" s="88">
        <f t="shared" si="20"/>
        <v>438.053282</v>
      </c>
      <c r="D276" s="88">
        <v>390.519026</v>
      </c>
      <c r="E276" s="88">
        <v>33.493756</v>
      </c>
      <c r="F276" s="88">
        <v>9.0405</v>
      </c>
      <c r="G276" s="88"/>
      <c r="H276" s="88"/>
      <c r="I276" s="88">
        <v>5</v>
      </c>
      <c r="J276" s="88"/>
      <c r="K276" s="88"/>
      <c r="L276" s="88"/>
    </row>
    <row r="277" ht="16.5" hidden="1" spans="1:12">
      <c r="A277" s="97" t="s">
        <v>999</v>
      </c>
      <c r="B277" s="87" t="s">
        <v>1000</v>
      </c>
      <c r="C277" s="88">
        <f t="shared" si="20"/>
        <v>160.700974</v>
      </c>
      <c r="D277" s="88">
        <v>146.180026</v>
      </c>
      <c r="E277" s="88">
        <v>12.520948</v>
      </c>
      <c r="F277" s="88"/>
      <c r="G277" s="88"/>
      <c r="H277" s="88"/>
      <c r="I277" s="88">
        <v>2</v>
      </c>
      <c r="J277" s="88"/>
      <c r="K277" s="88"/>
      <c r="L277" s="88"/>
    </row>
    <row r="278" ht="16.5" hidden="1" spans="1:12">
      <c r="A278" s="97" t="s">
        <v>1001</v>
      </c>
      <c r="B278" s="87" t="s">
        <v>1002</v>
      </c>
      <c r="C278" s="88">
        <f t="shared" si="20"/>
        <v>376.780947</v>
      </c>
      <c r="D278" s="88">
        <v>342.617811</v>
      </c>
      <c r="E278" s="88">
        <v>31.163136</v>
      </c>
      <c r="F278" s="88"/>
      <c r="G278" s="88"/>
      <c r="H278" s="88"/>
      <c r="I278" s="88">
        <v>3</v>
      </c>
      <c r="J278" s="88"/>
      <c r="K278" s="88"/>
      <c r="L278" s="88"/>
    </row>
    <row r="279" ht="17" customHeight="1" spans="1:13">
      <c r="A279" s="99"/>
      <c r="B279" s="84" t="s">
        <v>1003</v>
      </c>
      <c r="C279" s="85">
        <f t="shared" ref="C279:L279" si="21">SUM(C280:C292)</f>
        <v>156718.64</v>
      </c>
      <c r="D279" s="92">
        <f t="shared" si="21"/>
        <v>20780</v>
      </c>
      <c r="E279" s="92">
        <f t="shared" si="21"/>
        <v>52057.64</v>
      </c>
      <c r="F279" s="92">
        <f t="shared" si="21"/>
        <v>10831</v>
      </c>
      <c r="G279" s="92">
        <f t="shared" si="21"/>
        <v>18271</v>
      </c>
      <c r="H279" s="92">
        <f t="shared" si="21"/>
        <v>0</v>
      </c>
      <c r="I279" s="92">
        <f t="shared" si="21"/>
        <v>3700</v>
      </c>
      <c r="J279" s="92">
        <f t="shared" si="21"/>
        <v>29500</v>
      </c>
      <c r="K279" s="92">
        <f t="shared" si="21"/>
        <v>20749</v>
      </c>
      <c r="L279" s="92">
        <f t="shared" si="21"/>
        <v>830</v>
      </c>
      <c r="M279" s="69" t="s">
        <v>578</v>
      </c>
    </row>
    <row r="280" ht="16.5" hidden="1" spans="1:12">
      <c r="A280" s="95" t="s">
        <v>2247</v>
      </c>
      <c r="B280" s="96" t="s">
        <v>1011</v>
      </c>
      <c r="C280" s="100">
        <f t="shared" ref="C280:C294" si="22">SUM(D280:L280)</f>
        <v>37530</v>
      </c>
      <c r="D280" s="88">
        <f>19567-9567</f>
        <v>10000</v>
      </c>
      <c r="E280" s="88">
        <f>85176-38958-21218</f>
        <v>25000</v>
      </c>
      <c r="F280" s="88">
        <f>23944-6328-16116</f>
        <v>1500</v>
      </c>
      <c r="G280" s="88"/>
      <c r="H280" s="88"/>
      <c r="I280" s="88">
        <f>25616-24888-528</f>
        <v>200</v>
      </c>
      <c r="J280" s="88">
        <f>9931-7905-2026</f>
        <v>0</v>
      </c>
      <c r="K280" s="88">
        <f>16225-16225</f>
        <v>0</v>
      </c>
      <c r="L280" s="88">
        <v>830</v>
      </c>
    </row>
    <row r="281" ht="16.5" hidden="1" spans="1:12">
      <c r="A281" s="95" t="s">
        <v>2248</v>
      </c>
      <c r="B281" s="96" t="s">
        <v>1012</v>
      </c>
      <c r="C281" s="100">
        <f t="shared" si="22"/>
        <v>250</v>
      </c>
      <c r="D281" s="88">
        <v>180</v>
      </c>
      <c r="E281" s="88">
        <v>70</v>
      </c>
      <c r="F281" s="88"/>
      <c r="G281" s="88"/>
      <c r="H281" s="88"/>
      <c r="I281" s="88"/>
      <c r="J281" s="88"/>
      <c r="K281" s="88"/>
      <c r="L281" s="88"/>
    </row>
    <row r="282" ht="16.5" hidden="1" spans="1:12">
      <c r="A282" s="95" t="s">
        <v>2249</v>
      </c>
      <c r="B282" s="96" t="s">
        <v>1007</v>
      </c>
      <c r="C282" s="100">
        <f t="shared" si="22"/>
        <v>25250</v>
      </c>
      <c r="D282" s="88"/>
      <c r="E282" s="88">
        <f>4303-2653</f>
        <v>1650</v>
      </c>
      <c r="F282" s="88">
        <v>5500</v>
      </c>
      <c r="G282" s="88"/>
      <c r="H282" s="88"/>
      <c r="I282" s="88">
        <v>3500</v>
      </c>
      <c r="J282" s="88">
        <v>14600</v>
      </c>
      <c r="K282" s="88"/>
      <c r="L282" s="88"/>
    </row>
    <row r="283" ht="16.5" hidden="1" spans="1:12">
      <c r="A283" s="95" t="s">
        <v>2250</v>
      </c>
      <c r="B283" s="96" t="s">
        <v>1004</v>
      </c>
      <c r="C283" s="100">
        <f t="shared" si="22"/>
        <v>2751</v>
      </c>
      <c r="D283" s="88"/>
      <c r="E283" s="88">
        <v>2751</v>
      </c>
      <c r="F283" s="88"/>
      <c r="G283" s="88"/>
      <c r="H283" s="88"/>
      <c r="I283" s="88"/>
      <c r="J283" s="88"/>
      <c r="K283" s="88"/>
      <c r="L283" s="88"/>
    </row>
    <row r="284" ht="16.5" hidden="1" spans="1:12">
      <c r="A284" s="95" t="s">
        <v>2251</v>
      </c>
      <c r="B284" s="96" t="s">
        <v>1010</v>
      </c>
      <c r="C284" s="100">
        <f t="shared" si="22"/>
        <v>1290.2</v>
      </c>
      <c r="D284" s="88"/>
      <c r="E284" s="88">
        <v>1290.2</v>
      </c>
      <c r="F284" s="88"/>
      <c r="G284" s="88"/>
      <c r="H284" s="88"/>
      <c r="I284" s="88"/>
      <c r="J284" s="88"/>
      <c r="K284" s="88"/>
      <c r="L284" s="88"/>
    </row>
    <row r="285" ht="16.5" hidden="1" spans="1:12">
      <c r="A285" s="95" t="s">
        <v>2252</v>
      </c>
      <c r="B285" s="96" t="s">
        <v>1006</v>
      </c>
      <c r="C285" s="100">
        <f t="shared" si="22"/>
        <v>36324</v>
      </c>
      <c r="D285" s="88">
        <v>10600</v>
      </c>
      <c r="E285" s="88">
        <v>1465</v>
      </c>
      <c r="F285" s="88">
        <v>3510</v>
      </c>
      <c r="G285" s="88"/>
      <c r="H285" s="88"/>
      <c r="I285" s="88"/>
      <c r="J285" s="88"/>
      <c r="K285" s="88">
        <v>20749</v>
      </c>
      <c r="L285" s="88"/>
    </row>
    <row r="286" ht="16.5" hidden="1" spans="1:12">
      <c r="A286" s="95" t="s">
        <v>2253</v>
      </c>
      <c r="B286" s="96" t="s">
        <v>1005</v>
      </c>
      <c r="C286" s="100">
        <f t="shared" si="22"/>
        <v>15000</v>
      </c>
      <c r="D286" s="88"/>
      <c r="E286" s="88">
        <v>15000</v>
      </c>
      <c r="F286" s="88"/>
      <c r="G286" s="88"/>
      <c r="H286" s="88"/>
      <c r="I286" s="88"/>
      <c r="J286" s="88"/>
      <c r="K286" s="88"/>
      <c r="L286" s="88"/>
    </row>
    <row r="287" ht="16.5" hidden="1" spans="1:12">
      <c r="A287" s="95" t="s">
        <v>2254</v>
      </c>
      <c r="B287" s="96" t="s">
        <v>1009</v>
      </c>
      <c r="C287" s="100">
        <f t="shared" si="22"/>
        <v>16773</v>
      </c>
      <c r="D287" s="88"/>
      <c r="E287" s="88">
        <v>950</v>
      </c>
      <c r="F287" s="88"/>
      <c r="G287" s="88">
        <v>923</v>
      </c>
      <c r="H287" s="88"/>
      <c r="I287" s="88"/>
      <c r="J287" s="88">
        <v>14900</v>
      </c>
      <c r="K287" s="88"/>
      <c r="L287" s="88"/>
    </row>
    <row r="288" ht="16.5" hidden="1" spans="1:12">
      <c r="A288" s="95" t="s">
        <v>2255</v>
      </c>
      <c r="B288" s="96" t="s">
        <v>1008</v>
      </c>
      <c r="C288" s="100">
        <f t="shared" si="22"/>
        <v>225.44</v>
      </c>
      <c r="D288" s="88"/>
      <c r="E288" s="88">
        <v>225.44</v>
      </c>
      <c r="F288" s="88"/>
      <c r="G288" s="88"/>
      <c r="H288" s="88"/>
      <c r="I288" s="88"/>
      <c r="J288" s="88"/>
      <c r="K288" s="88"/>
      <c r="L288" s="88"/>
    </row>
    <row r="289" ht="16.5" hidden="1" spans="1:12">
      <c r="A289" s="95" t="s">
        <v>2256</v>
      </c>
      <c r="B289" s="96" t="s">
        <v>1013</v>
      </c>
      <c r="C289" s="100">
        <f t="shared" si="22"/>
        <v>120</v>
      </c>
      <c r="D289" s="88"/>
      <c r="E289" s="88"/>
      <c r="F289" s="88">
        <v>120</v>
      </c>
      <c r="G289" s="88"/>
      <c r="H289" s="88"/>
      <c r="I289" s="88"/>
      <c r="J289" s="88"/>
      <c r="K289" s="88"/>
      <c r="L289" s="88"/>
    </row>
    <row r="290" ht="16.5" hidden="1" spans="1:12">
      <c r="A290" s="95" t="s">
        <v>2257</v>
      </c>
      <c r="B290" s="96" t="s">
        <v>1014</v>
      </c>
      <c r="C290" s="100">
        <f t="shared" si="22"/>
        <v>3656</v>
      </c>
      <c r="D290" s="88"/>
      <c r="E290" s="88">
        <v>3656</v>
      </c>
      <c r="F290" s="88"/>
      <c r="G290" s="88"/>
      <c r="H290" s="88"/>
      <c r="I290" s="88"/>
      <c r="J290" s="88"/>
      <c r="K290" s="88"/>
      <c r="L290" s="88"/>
    </row>
    <row r="291" ht="16.5" hidden="1" spans="1:12">
      <c r="A291" s="95" t="s">
        <v>2258</v>
      </c>
      <c r="B291" s="96" t="s">
        <v>1015</v>
      </c>
      <c r="C291" s="100">
        <f t="shared" si="22"/>
        <v>201</v>
      </c>
      <c r="D291" s="88"/>
      <c r="E291" s="88"/>
      <c r="F291" s="88">
        <v>201</v>
      </c>
      <c r="G291" s="88"/>
      <c r="H291" s="88"/>
      <c r="I291" s="88"/>
      <c r="J291" s="88"/>
      <c r="K291" s="88"/>
      <c r="L291" s="88"/>
    </row>
    <row r="292" ht="16.5" hidden="1" spans="1:12">
      <c r="A292" s="95" t="s">
        <v>2259</v>
      </c>
      <c r="B292" s="96" t="s">
        <v>1016</v>
      </c>
      <c r="C292" s="100">
        <f t="shared" si="22"/>
        <v>17348</v>
      </c>
      <c r="D292" s="88"/>
      <c r="E292" s="88"/>
      <c r="F292" s="88"/>
      <c r="G292" s="88">
        <v>17348</v>
      </c>
      <c r="H292" s="88"/>
      <c r="I292" s="88"/>
      <c r="J292" s="88"/>
      <c r="K292" s="88"/>
      <c r="L292" s="88"/>
    </row>
    <row r="293" ht="17" customHeight="1" spans="1:13">
      <c r="A293" s="101"/>
      <c r="B293" s="84" t="s">
        <v>1017</v>
      </c>
      <c r="C293" s="102">
        <f t="shared" si="22"/>
        <v>26708</v>
      </c>
      <c r="D293" s="92"/>
      <c r="E293" s="92">
        <f>38958-34661</f>
        <v>4297</v>
      </c>
      <c r="F293" s="92">
        <f>6328-4112</f>
        <v>2216</v>
      </c>
      <c r="G293" s="92"/>
      <c r="H293" s="92"/>
      <c r="I293" s="92">
        <f>24888-6719</f>
        <v>18169</v>
      </c>
      <c r="J293" s="92">
        <v>2026</v>
      </c>
      <c r="K293" s="92"/>
      <c r="L293" s="92"/>
      <c r="M293" s="69" t="s">
        <v>578</v>
      </c>
    </row>
    <row r="294" ht="17" customHeight="1" spans="1:13">
      <c r="A294" s="101"/>
      <c r="B294" s="84" t="s">
        <v>2260</v>
      </c>
      <c r="C294" s="102">
        <f t="shared" si="22"/>
        <v>71559</v>
      </c>
      <c r="D294" s="92">
        <v>9567</v>
      </c>
      <c r="E294" s="92">
        <v>21218</v>
      </c>
      <c r="F294" s="92">
        <f>16116</f>
        <v>16116</v>
      </c>
      <c r="G294" s="92"/>
      <c r="H294" s="92"/>
      <c r="I294" s="92">
        <v>528</v>
      </c>
      <c r="J294" s="92">
        <v>7905</v>
      </c>
      <c r="K294" s="92">
        <v>16225</v>
      </c>
      <c r="L294" s="92"/>
      <c r="M294" s="69" t="s">
        <v>578</v>
      </c>
    </row>
  </sheetData>
  <sheetProtection password="C70D" sheet="1" objects="1"/>
  <autoFilter ref="A4:M294">
    <filterColumn colId="12">
      <customFilters>
        <customFilter operator="equal" val="是"/>
      </customFilters>
    </filterColumn>
    <extLst/>
  </autoFilter>
  <mergeCells count="1">
    <mergeCell ref="A2:L2"/>
  </mergeCells>
  <printOptions horizontalCentered="1"/>
  <pageMargins left="0.786805555555556" right="0.590277777777778" top="0.984027777777778" bottom="0.786805555555556"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F34"/>
  <sheetViews>
    <sheetView view="pageBreakPreview" zoomScaleNormal="100" workbookViewId="0">
      <pane xSplit="1" ySplit="4" topLeftCell="B27" activePane="bottomRight" state="frozen"/>
      <selection/>
      <selection pane="topRight"/>
      <selection pane="bottomLeft"/>
      <selection pane="bottomRight" activeCell="H4" sqref="H4"/>
    </sheetView>
  </sheetViews>
  <sheetFormatPr defaultColWidth="9" defaultRowHeight="14.25" outlineLevelCol="5"/>
  <cols>
    <col min="1" max="1" width="24.25" customWidth="1"/>
    <col min="2" max="3" width="11.625" customWidth="1"/>
    <col min="4" max="4" width="11.625" style="335" customWidth="1"/>
    <col min="5" max="5" width="13.625" customWidth="1"/>
    <col min="6" max="6" width="9.625" customWidth="1"/>
  </cols>
  <sheetData>
    <row r="1" s="1" customFormat="1" ht="20.1" customHeight="1" spans="1:4">
      <c r="A1" s="1" t="s">
        <v>4</v>
      </c>
      <c r="D1" s="337"/>
    </row>
    <row r="2" s="2" customFormat="1" ht="45" customHeight="1" spans="1:6">
      <c r="A2" s="47" t="s">
        <v>44</v>
      </c>
      <c r="B2" s="47"/>
      <c r="C2" s="47"/>
      <c r="D2" s="338"/>
      <c r="E2" s="47"/>
      <c r="F2" s="47"/>
    </row>
    <row r="3" s="3" customFormat="1" ht="20.1" customHeight="1" spans="4:6">
      <c r="D3" s="339"/>
      <c r="F3" s="32" t="s">
        <v>45</v>
      </c>
    </row>
    <row r="4" s="4" customFormat="1" ht="39.95" customHeight="1" spans="1:6">
      <c r="A4" s="19" t="s">
        <v>46</v>
      </c>
      <c r="B4" s="20" t="s">
        <v>47</v>
      </c>
      <c r="C4" s="20" t="s">
        <v>48</v>
      </c>
      <c r="D4" s="342" t="s">
        <v>49</v>
      </c>
      <c r="E4" s="20" t="s">
        <v>50</v>
      </c>
      <c r="F4" s="20" t="s">
        <v>51</v>
      </c>
    </row>
    <row r="5" s="6" customFormat="1" ht="21.95" customHeight="1" spans="1:6">
      <c r="A5" s="48" t="s">
        <v>52</v>
      </c>
      <c r="B5" s="344">
        <f>B6+B21</f>
        <v>687029</v>
      </c>
      <c r="C5" s="344">
        <f>C6+C21</f>
        <v>803595</v>
      </c>
      <c r="D5" s="345">
        <f>D6+D21</f>
        <v>807160</v>
      </c>
      <c r="E5" s="346">
        <f>ROUND(D5/C5*100,2)</f>
        <v>100.44</v>
      </c>
      <c r="F5" s="346">
        <f t="shared" ref="F5:F34" si="0">ROUND((D5/B5-1)*100,1)</f>
        <v>17.5</v>
      </c>
    </row>
    <row r="6" ht="21.95" customHeight="1" spans="1:6">
      <c r="A6" s="57" t="s">
        <v>53</v>
      </c>
      <c r="B6" s="347">
        <f>SUM(B7:B20)</f>
        <v>585040</v>
      </c>
      <c r="C6" s="347">
        <f>SUM(C7:C20)</f>
        <v>680175</v>
      </c>
      <c r="D6" s="348">
        <f>SUM(D7:D20)</f>
        <v>678486</v>
      </c>
      <c r="E6" s="349">
        <f>ROUND(D6/C6*100,2)</f>
        <v>99.75</v>
      </c>
      <c r="F6" s="349">
        <f t="shared" si="0"/>
        <v>16</v>
      </c>
    </row>
    <row r="7" ht="21.95" customHeight="1" spans="1:6">
      <c r="A7" s="350" t="s">
        <v>54</v>
      </c>
      <c r="B7" s="347">
        <v>196660</v>
      </c>
      <c r="C7" s="347">
        <v>285000</v>
      </c>
      <c r="D7" s="348">
        <f>'表1-2'!D7*2</f>
        <v>289634</v>
      </c>
      <c r="E7" s="349">
        <f>ROUND(D7/C7*100,2)</f>
        <v>101.63</v>
      </c>
      <c r="F7" s="349">
        <f t="shared" si="0"/>
        <v>47.3</v>
      </c>
    </row>
    <row r="8" ht="21.95" customHeight="1" spans="1:6">
      <c r="A8" s="350" t="s">
        <v>55</v>
      </c>
      <c r="B8" s="347">
        <v>69858</v>
      </c>
      <c r="C8" s="347">
        <v>70000</v>
      </c>
      <c r="D8" s="348">
        <v>73508</v>
      </c>
      <c r="E8" s="349">
        <f>ROUND(D8/C8*100,2)</f>
        <v>105.01</v>
      </c>
      <c r="F8" s="349">
        <f t="shared" si="0"/>
        <v>5.2</v>
      </c>
    </row>
    <row r="9" ht="21.95" customHeight="1" spans="1:6">
      <c r="A9" s="350" t="s">
        <v>56</v>
      </c>
      <c r="B9" s="347">
        <v>158844</v>
      </c>
      <c r="C9" s="347">
        <v>173000</v>
      </c>
      <c r="D9" s="348">
        <f>'表1-2'!D8/0.4</f>
        <v>166430</v>
      </c>
      <c r="E9" s="349">
        <f t="shared" ref="E9:E28" si="1">ROUND(D9/C9*100,2)</f>
        <v>96.2</v>
      </c>
      <c r="F9" s="349">
        <f t="shared" si="0"/>
        <v>4.8</v>
      </c>
    </row>
    <row r="10" ht="21.95" customHeight="1" spans="1:6">
      <c r="A10" s="350" t="s">
        <v>57</v>
      </c>
      <c r="B10" s="347">
        <v>25580</v>
      </c>
      <c r="C10" s="347">
        <v>19525</v>
      </c>
      <c r="D10" s="348">
        <f>'表1-2'!D9/0.4</f>
        <v>21925</v>
      </c>
      <c r="E10" s="349">
        <f t="shared" si="1"/>
        <v>112.29</v>
      </c>
      <c r="F10" s="349">
        <f t="shared" si="0"/>
        <v>-14.3</v>
      </c>
    </row>
    <row r="11" ht="21.95" customHeight="1" spans="1:6">
      <c r="A11" s="350" t="s">
        <v>58</v>
      </c>
      <c r="B11" s="347">
        <v>17409</v>
      </c>
      <c r="C11" s="347">
        <v>17000</v>
      </c>
      <c r="D11" s="348">
        <f>'表1-2'!D10</f>
        <v>16664</v>
      </c>
      <c r="E11" s="349">
        <f t="shared" si="1"/>
        <v>98.02</v>
      </c>
      <c r="F11" s="349">
        <f t="shared" si="0"/>
        <v>-4.3</v>
      </c>
    </row>
    <row r="12" ht="21.95" customHeight="1" spans="1:6">
      <c r="A12" s="350" t="s">
        <v>59</v>
      </c>
      <c r="B12" s="347">
        <v>18772</v>
      </c>
      <c r="C12" s="347">
        <v>21000</v>
      </c>
      <c r="D12" s="348">
        <f>'表1-2'!D11</f>
        <v>22219</v>
      </c>
      <c r="E12" s="349">
        <f t="shared" si="1"/>
        <v>105.8</v>
      </c>
      <c r="F12" s="349">
        <f t="shared" si="0"/>
        <v>18.4</v>
      </c>
    </row>
    <row r="13" ht="21.95" customHeight="1" spans="1:6">
      <c r="A13" s="350" t="s">
        <v>60</v>
      </c>
      <c r="B13" s="347">
        <v>9028</v>
      </c>
      <c r="C13" s="347">
        <v>11500</v>
      </c>
      <c r="D13" s="348">
        <f>'表1-2'!D12</f>
        <v>10173</v>
      </c>
      <c r="E13" s="349">
        <f t="shared" si="1"/>
        <v>88.46</v>
      </c>
      <c r="F13" s="349">
        <f t="shared" si="0"/>
        <v>12.7</v>
      </c>
    </row>
    <row r="14" ht="21.95" customHeight="1" spans="1:6">
      <c r="A14" s="350" t="s">
        <v>61</v>
      </c>
      <c r="B14" s="347">
        <v>5005</v>
      </c>
      <c r="C14" s="347">
        <v>6700</v>
      </c>
      <c r="D14" s="348">
        <f>'表1-2'!D13</f>
        <v>6296</v>
      </c>
      <c r="E14" s="349">
        <f t="shared" si="1"/>
        <v>93.97</v>
      </c>
      <c r="F14" s="349">
        <f t="shared" si="0"/>
        <v>25.8</v>
      </c>
    </row>
    <row r="15" ht="21.95" customHeight="1" spans="1:6">
      <c r="A15" s="350" t="s">
        <v>62</v>
      </c>
      <c r="B15" s="347">
        <v>7557</v>
      </c>
      <c r="C15" s="347">
        <v>11000</v>
      </c>
      <c r="D15" s="348">
        <f>'表1-2'!D14</f>
        <v>9294</v>
      </c>
      <c r="E15" s="349">
        <f t="shared" si="1"/>
        <v>84.49</v>
      </c>
      <c r="F15" s="349">
        <f t="shared" si="0"/>
        <v>23</v>
      </c>
    </row>
    <row r="16" ht="21.95" customHeight="1" spans="1:6">
      <c r="A16" s="350" t="s">
        <v>63</v>
      </c>
      <c r="B16" s="347">
        <v>13127</v>
      </c>
      <c r="C16" s="347">
        <v>5500</v>
      </c>
      <c r="D16" s="348">
        <f>'表1-2'!D15</f>
        <v>3784</v>
      </c>
      <c r="E16" s="349">
        <f t="shared" si="1"/>
        <v>68.8</v>
      </c>
      <c r="F16" s="349">
        <f t="shared" si="0"/>
        <v>-71.2</v>
      </c>
    </row>
    <row r="17" ht="21.95" customHeight="1" spans="1:6">
      <c r="A17" s="350" t="s">
        <v>64</v>
      </c>
      <c r="B17" s="347">
        <v>2545</v>
      </c>
      <c r="C17" s="347">
        <v>3080</v>
      </c>
      <c r="D17" s="348">
        <f>'表1-2'!D16</f>
        <v>2721</v>
      </c>
      <c r="E17" s="349">
        <f t="shared" si="1"/>
        <v>88.34</v>
      </c>
      <c r="F17" s="349">
        <f t="shared" si="0"/>
        <v>6.9</v>
      </c>
    </row>
    <row r="18" ht="21.95" customHeight="1" spans="1:6">
      <c r="A18" s="350" t="s">
        <v>65</v>
      </c>
      <c r="B18" s="347">
        <v>11599</v>
      </c>
      <c r="C18" s="347">
        <v>33000</v>
      </c>
      <c r="D18" s="348">
        <f>'表1-2'!D17</f>
        <v>34563</v>
      </c>
      <c r="E18" s="349">
        <f t="shared" si="1"/>
        <v>104.74</v>
      </c>
      <c r="F18" s="349">
        <f t="shared" si="0"/>
        <v>198</v>
      </c>
    </row>
    <row r="19" ht="21.95" customHeight="1" spans="1:6">
      <c r="A19" s="350" t="s">
        <v>66</v>
      </c>
      <c r="B19" s="347">
        <v>48126</v>
      </c>
      <c r="C19" s="347">
        <v>22870</v>
      </c>
      <c r="D19" s="348">
        <f>'表1-2'!D18</f>
        <v>20557</v>
      </c>
      <c r="E19" s="349">
        <f t="shared" si="1"/>
        <v>89.89</v>
      </c>
      <c r="F19" s="349">
        <f t="shared" si="0"/>
        <v>-57.3</v>
      </c>
    </row>
    <row r="20" ht="21.95" customHeight="1" spans="1:6">
      <c r="A20" s="350" t="s">
        <v>67</v>
      </c>
      <c r="B20" s="347">
        <v>930</v>
      </c>
      <c r="C20" s="347">
        <v>1000</v>
      </c>
      <c r="D20" s="348">
        <f>'表1-2'!D19</f>
        <v>718</v>
      </c>
      <c r="E20" s="349">
        <f t="shared" si="1"/>
        <v>71.8</v>
      </c>
      <c r="F20" s="349">
        <f t="shared" si="0"/>
        <v>-22.8</v>
      </c>
    </row>
    <row r="21" ht="21.95" customHeight="1" spans="1:6">
      <c r="A21" s="57" t="s">
        <v>68</v>
      </c>
      <c r="B21" s="347">
        <f>SUM(B22,B29:B34)</f>
        <v>101989</v>
      </c>
      <c r="C21" s="347">
        <f>SUM(C22,C29:C34)</f>
        <v>123420</v>
      </c>
      <c r="D21" s="348">
        <f>SUM(D22,D29:D34)</f>
        <v>128674</v>
      </c>
      <c r="E21" s="349">
        <f t="shared" si="1"/>
        <v>104.26</v>
      </c>
      <c r="F21" s="349">
        <f t="shared" si="0"/>
        <v>26.2</v>
      </c>
    </row>
    <row r="22" ht="21.95" customHeight="1" spans="1:6">
      <c r="A22" s="350" t="s">
        <v>69</v>
      </c>
      <c r="B22" s="347">
        <f>SUM(B23:B28)</f>
        <v>13951</v>
      </c>
      <c r="C22" s="347">
        <f>SUM(C23:C28)</f>
        <v>16750</v>
      </c>
      <c r="D22" s="348">
        <f>SUM(D23:D28)</f>
        <v>16645</v>
      </c>
      <c r="E22" s="349">
        <f t="shared" si="1"/>
        <v>99.37</v>
      </c>
      <c r="F22" s="349">
        <f t="shared" si="0"/>
        <v>19.3</v>
      </c>
    </row>
    <row r="23" ht="21.95" customHeight="1" spans="1:6">
      <c r="A23" s="352" t="s">
        <v>70</v>
      </c>
      <c r="B23" s="347">
        <v>8667</v>
      </c>
      <c r="C23" s="347">
        <f>'表1-2'!C22</f>
        <v>10200</v>
      </c>
      <c r="D23" s="348">
        <f>'表1-2'!D22</f>
        <v>10455</v>
      </c>
      <c r="E23" s="349">
        <f t="shared" si="1"/>
        <v>102.5</v>
      </c>
      <c r="F23" s="349">
        <f t="shared" si="0"/>
        <v>20.6</v>
      </c>
    </row>
    <row r="24" ht="21.95" customHeight="1" spans="1:6">
      <c r="A24" s="352" t="s">
        <v>71</v>
      </c>
      <c r="B24" s="347">
        <v>4042</v>
      </c>
      <c r="C24" s="347">
        <f>'表1-2'!C23</f>
        <v>5250</v>
      </c>
      <c r="D24" s="348">
        <f>'表1-2'!D23</f>
        <v>4918</v>
      </c>
      <c r="E24" s="349">
        <f t="shared" si="1"/>
        <v>93.68</v>
      </c>
      <c r="F24" s="349">
        <f t="shared" si="0"/>
        <v>21.7</v>
      </c>
    </row>
    <row r="25" ht="21.95" customHeight="1" spans="1:6">
      <c r="A25" s="352" t="s">
        <v>72</v>
      </c>
      <c r="B25" s="347">
        <v>901</v>
      </c>
      <c r="C25" s="347">
        <f>'表1-2'!C24</f>
        <v>1000</v>
      </c>
      <c r="D25" s="348">
        <f>'表1-2'!D24</f>
        <v>1221</v>
      </c>
      <c r="E25" s="349">
        <f t="shared" si="1"/>
        <v>122.1</v>
      </c>
      <c r="F25" s="349">
        <f t="shared" si="0"/>
        <v>35.5</v>
      </c>
    </row>
    <row r="26" ht="21.95" customHeight="1" spans="1:6">
      <c r="A26" s="352" t="s">
        <v>73</v>
      </c>
      <c r="B26" s="347"/>
      <c r="C26" s="347"/>
      <c r="D26" s="348"/>
      <c r="E26" s="349"/>
      <c r="F26" s="349"/>
    </row>
    <row r="27" ht="21.95" customHeight="1" spans="1:6">
      <c r="A27" s="352" t="s">
        <v>74</v>
      </c>
      <c r="B27" s="347"/>
      <c r="C27" s="347"/>
      <c r="D27" s="348"/>
      <c r="E27" s="349"/>
      <c r="F27" s="349"/>
    </row>
    <row r="28" ht="21.95" customHeight="1" spans="1:6">
      <c r="A28" s="352" t="s">
        <v>75</v>
      </c>
      <c r="B28" s="347">
        <v>341</v>
      </c>
      <c r="C28" s="347">
        <f>'表1-2'!C27</f>
        <v>300</v>
      </c>
      <c r="D28" s="348">
        <f>'表1-2'!D27</f>
        <v>51</v>
      </c>
      <c r="E28" s="349">
        <f t="shared" si="1"/>
        <v>17</v>
      </c>
      <c r="F28" s="349">
        <f t="shared" si="0"/>
        <v>-85</v>
      </c>
    </row>
    <row r="29" ht="21.95" customHeight="1" spans="1:6">
      <c r="A29" s="350" t="s">
        <v>76</v>
      </c>
      <c r="B29" s="347">
        <v>5771</v>
      </c>
      <c r="C29" s="347">
        <f>'表1-2'!C28</f>
        <v>7200</v>
      </c>
      <c r="D29" s="348">
        <f>'表1-2'!D28</f>
        <v>8150</v>
      </c>
      <c r="E29" s="349">
        <f t="shared" ref="E29:E34" si="2">ROUND(D29/C29*100,2)</f>
        <v>113.19</v>
      </c>
      <c r="F29" s="349">
        <f t="shared" si="0"/>
        <v>41.2</v>
      </c>
    </row>
    <row r="30" ht="21.95" customHeight="1" spans="1:6">
      <c r="A30" s="350" t="s">
        <v>77</v>
      </c>
      <c r="B30" s="347">
        <v>20346</v>
      </c>
      <c r="C30" s="347">
        <f>'表1-2'!C29</f>
        <v>26400</v>
      </c>
      <c r="D30" s="348">
        <f>'表1-2'!D29</f>
        <v>28101</v>
      </c>
      <c r="E30" s="349">
        <f t="shared" si="2"/>
        <v>106.44</v>
      </c>
      <c r="F30" s="349">
        <f t="shared" si="0"/>
        <v>38.1</v>
      </c>
    </row>
    <row r="31" ht="21.95" customHeight="1" spans="1:6">
      <c r="A31" s="350" t="s">
        <v>78</v>
      </c>
      <c r="B31" s="347"/>
      <c r="C31" s="347"/>
      <c r="D31" s="348"/>
      <c r="E31" s="349"/>
      <c r="F31" s="349"/>
    </row>
    <row r="32" ht="21.95" customHeight="1" spans="1:6">
      <c r="A32" s="350" t="s">
        <v>79</v>
      </c>
      <c r="B32" s="347">
        <v>60485</v>
      </c>
      <c r="C32" s="347">
        <f>'表1-2'!C31</f>
        <v>70240</v>
      </c>
      <c r="D32" s="348">
        <f>'表1-2'!D31</f>
        <v>72765</v>
      </c>
      <c r="E32" s="349">
        <f t="shared" si="2"/>
        <v>103.59</v>
      </c>
      <c r="F32" s="349">
        <f t="shared" si="0"/>
        <v>20.3</v>
      </c>
    </row>
    <row r="33" ht="21.95" customHeight="1" spans="1:6">
      <c r="A33" s="350" t="s">
        <v>80</v>
      </c>
      <c r="B33" s="347">
        <v>867</v>
      </c>
      <c r="C33" s="347">
        <f>'表1-2'!C32</f>
        <v>330</v>
      </c>
      <c r="D33" s="348">
        <f>'表1-2'!D32</f>
        <v>530</v>
      </c>
      <c r="E33" s="349">
        <f t="shared" si="2"/>
        <v>160.61</v>
      </c>
      <c r="F33" s="349">
        <f t="shared" si="0"/>
        <v>-38.9</v>
      </c>
    </row>
    <row r="34" ht="21.95" customHeight="1" spans="1:6">
      <c r="A34" s="350" t="s">
        <v>81</v>
      </c>
      <c r="B34" s="347">
        <v>569</v>
      </c>
      <c r="C34" s="347">
        <f>'表1-2'!C33</f>
        <v>2500</v>
      </c>
      <c r="D34" s="348">
        <f>'表1-2'!D33</f>
        <v>2483</v>
      </c>
      <c r="E34" s="349">
        <f t="shared" si="2"/>
        <v>99.32</v>
      </c>
      <c r="F34" s="349">
        <f t="shared" si="0"/>
        <v>336.4</v>
      </c>
    </row>
  </sheetData>
  <mergeCells count="1">
    <mergeCell ref="A2:F2"/>
  </mergeCells>
  <printOptions horizontalCentered="1"/>
  <pageMargins left="0.786805555555556" right="0.590277777777778" top="0.984027777777778" bottom="0.786805555555556" header="0.313888888888889" footer="0.313888888888889"/>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view="pageBreakPreview" zoomScaleNormal="100" workbookViewId="0">
      <selection activeCell="G1" sqref="G$1:G$1048576"/>
    </sheetView>
  </sheetViews>
  <sheetFormatPr defaultColWidth="9" defaultRowHeight="14.25" outlineLevelCol="5"/>
  <cols>
    <col min="1" max="1" width="27.625" customWidth="1"/>
    <col min="2" max="3" width="13.625" customWidth="1"/>
    <col min="4" max="4" width="7.625" customWidth="1"/>
    <col min="5" max="5" width="20.875" customWidth="1"/>
  </cols>
  <sheetData>
    <row r="1" s="1" customFormat="1" ht="20.1" customHeight="1" spans="1:1">
      <c r="A1" s="1" t="s">
        <v>40</v>
      </c>
    </row>
    <row r="2" s="2" customFormat="1" ht="45" customHeight="1" spans="1:5">
      <c r="A2" s="47" t="s">
        <v>2676</v>
      </c>
      <c r="B2" s="47"/>
      <c r="C2" s="47"/>
      <c r="D2" s="47"/>
      <c r="E2" s="47"/>
    </row>
    <row r="3" s="3" customFormat="1" ht="20.1" customHeight="1" spans="5:5">
      <c r="E3" s="32" t="s">
        <v>45</v>
      </c>
    </row>
    <row r="4" s="4" customFormat="1" ht="24.95" customHeight="1" spans="1:5">
      <c r="A4" s="19" t="s">
        <v>125</v>
      </c>
      <c r="B4" s="19" t="s">
        <v>2677</v>
      </c>
      <c r="C4" s="19" t="s">
        <v>169</v>
      </c>
      <c r="D4" s="19" t="s">
        <v>51</v>
      </c>
      <c r="E4" s="19" t="s">
        <v>3</v>
      </c>
    </row>
    <row r="5" s="6" customFormat="1" ht="24.95" customHeight="1" spans="1:5">
      <c r="A5" s="48" t="s">
        <v>183</v>
      </c>
      <c r="B5" s="49">
        <f>SUM(B7:B8,B11:B13)</f>
        <v>2844.4</v>
      </c>
      <c r="C5" s="49">
        <f>SUM(C7:C8,C11:C13)</f>
        <v>2865.3</v>
      </c>
      <c r="D5" s="50">
        <f>ROUND((C5/B5-1)*100,2)</f>
        <v>0.73</v>
      </c>
      <c r="E5" s="51"/>
    </row>
    <row r="6" s="9" customFormat="1" ht="24.95" customHeight="1" spans="1:6">
      <c r="A6" s="52" t="s">
        <v>2678</v>
      </c>
      <c r="B6" s="53">
        <f>SUM(B7:B8,B11)</f>
        <v>1496.5</v>
      </c>
      <c r="C6" s="53">
        <f>SUM(C7:C8,C11)</f>
        <v>1467.4</v>
      </c>
      <c r="D6" s="54">
        <f t="shared" ref="D6:D13" si="0">ROUND((C6/B6-1)*100,1)</f>
        <v>-1.9</v>
      </c>
      <c r="E6" s="55"/>
      <c r="F6" s="56"/>
    </row>
    <row r="7" ht="24.95" customHeight="1" spans="1:5">
      <c r="A7" s="57" t="s">
        <v>2679</v>
      </c>
      <c r="B7" s="58"/>
      <c r="C7" s="58"/>
      <c r="D7" s="59"/>
      <c r="E7" s="60"/>
    </row>
    <row r="8" ht="24.95" customHeight="1" spans="1:6">
      <c r="A8" s="57" t="s">
        <v>2680</v>
      </c>
      <c r="B8" s="58">
        <f>B9+B10</f>
        <v>1326.5</v>
      </c>
      <c r="C8" s="58">
        <f>C9+C10</f>
        <v>1303.5</v>
      </c>
      <c r="D8" s="59">
        <f t="shared" si="0"/>
        <v>-1.7</v>
      </c>
      <c r="E8" s="60"/>
      <c r="F8" s="61"/>
    </row>
    <row r="9" ht="24.95" customHeight="1" spans="1:5">
      <c r="A9" s="62" t="s">
        <v>2681</v>
      </c>
      <c r="B9" s="58"/>
      <c r="C9" s="58"/>
      <c r="D9" s="59"/>
      <c r="E9" s="60"/>
    </row>
    <row r="10" ht="24.95" customHeight="1" spans="1:6">
      <c r="A10" s="62" t="s">
        <v>2682</v>
      </c>
      <c r="B10" s="58">
        <v>1326.5</v>
      </c>
      <c r="C10" s="58">
        <v>1303.5</v>
      </c>
      <c r="D10" s="59">
        <f t="shared" si="0"/>
        <v>-1.7</v>
      </c>
      <c r="E10" s="63"/>
      <c r="F10" s="64"/>
    </row>
    <row r="11" ht="24.95" customHeight="1" spans="1:5">
      <c r="A11" s="57" t="s">
        <v>2683</v>
      </c>
      <c r="B11" s="58">
        <v>170</v>
      </c>
      <c r="C11" s="58">
        <v>163.9</v>
      </c>
      <c r="D11" s="59">
        <f t="shared" si="0"/>
        <v>-3.6</v>
      </c>
      <c r="E11" s="60"/>
    </row>
    <row r="12" ht="24.95" customHeight="1" spans="1:5">
      <c r="A12" s="57" t="s">
        <v>2684</v>
      </c>
      <c r="B12" s="58">
        <v>504.9</v>
      </c>
      <c r="C12" s="58">
        <v>421.3</v>
      </c>
      <c r="D12" s="59">
        <f t="shared" si="0"/>
        <v>-16.6</v>
      </c>
      <c r="E12" s="63"/>
    </row>
    <row r="13" ht="24.95" customHeight="1" spans="1:5">
      <c r="A13" s="57" t="s">
        <v>2685</v>
      </c>
      <c r="B13" s="58">
        <v>843</v>
      </c>
      <c r="C13" s="58">
        <v>976.6</v>
      </c>
      <c r="D13" s="59">
        <f t="shared" si="0"/>
        <v>15.8</v>
      </c>
      <c r="E13" s="60"/>
    </row>
  </sheetData>
  <mergeCells count="1">
    <mergeCell ref="A2:E2"/>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292"/>
  <sheetViews>
    <sheetView tabSelected="1" view="pageBreakPreview" zoomScaleNormal="100" topLeftCell="C1" workbookViewId="0">
      <pane ySplit="7" topLeftCell="A8" activePane="bottomLeft" state="frozen"/>
      <selection/>
      <selection pane="bottomLeft" activeCell="U1" sqref="U$1:X$1048576"/>
    </sheetView>
  </sheetViews>
  <sheetFormatPr defaultColWidth="9" defaultRowHeight="14.25"/>
  <cols>
    <col min="1" max="1" width="6.625" style="10" customWidth="1"/>
    <col min="2" max="2" width="20.625" style="11" customWidth="1"/>
    <col min="3" max="3" width="5.875" style="11" customWidth="1"/>
    <col min="4" max="4" width="5.625" style="11" customWidth="1"/>
    <col min="5" max="5" width="5.875" style="11" customWidth="1"/>
    <col min="6" max="6" width="5.125" style="11" customWidth="1"/>
    <col min="7" max="7" width="5.875" style="11" customWidth="1"/>
    <col min="8" max="8" width="7.125" style="11" customWidth="1"/>
    <col min="9" max="14" width="5.625" style="11" customWidth="1"/>
    <col min="15" max="16" width="5.125" style="11" customWidth="1"/>
    <col min="17" max="18" width="5.625" style="11" customWidth="1"/>
    <col min="19" max="19" width="5.125" style="11" customWidth="1"/>
    <col min="20" max="20" width="5.625" style="12" customWidth="1"/>
    <col min="21" max="21" width="14.125" style="11" hidden="1" customWidth="1"/>
    <col min="22" max="24" width="9" style="11" hidden="1" customWidth="1"/>
    <col min="25" max="16384" width="9" style="11"/>
  </cols>
  <sheetData>
    <row r="1" s="1" customFormat="1" ht="20.1" customHeight="1" spans="1:20">
      <c r="A1" s="13" t="s">
        <v>42</v>
      </c>
      <c r="T1" s="30"/>
    </row>
    <row r="2" s="2" customFormat="1" ht="29" customHeight="1" spans="1:20">
      <c r="A2" s="14" t="s">
        <v>2686</v>
      </c>
      <c r="B2" s="15"/>
      <c r="C2" s="15"/>
      <c r="D2" s="15"/>
      <c r="E2" s="15"/>
      <c r="F2" s="15"/>
      <c r="G2" s="15"/>
      <c r="H2" s="15"/>
      <c r="I2" s="15"/>
      <c r="J2" s="15"/>
      <c r="K2" s="15"/>
      <c r="L2" s="15"/>
      <c r="M2" s="15"/>
      <c r="N2" s="15"/>
      <c r="O2" s="15"/>
      <c r="P2" s="15"/>
      <c r="Q2" s="15"/>
      <c r="R2" s="15"/>
      <c r="S2" s="15"/>
      <c r="T2" s="15"/>
    </row>
    <row r="3" s="3" customFormat="1" ht="15" spans="1:20">
      <c r="A3" s="16"/>
      <c r="R3" s="31" t="s">
        <v>2687</v>
      </c>
      <c r="S3" s="31"/>
      <c r="T3" s="32"/>
    </row>
    <row r="4" s="4" customFormat="1" ht="20.1" customHeight="1" spans="1:20">
      <c r="A4" s="17" t="s">
        <v>2688</v>
      </c>
      <c r="B4" s="18" t="s">
        <v>2183</v>
      </c>
      <c r="C4" s="19" t="s">
        <v>2689</v>
      </c>
      <c r="D4" s="19"/>
      <c r="E4" s="19"/>
      <c r="F4" s="19"/>
      <c r="G4" s="19" t="s">
        <v>2690</v>
      </c>
      <c r="H4" s="19"/>
      <c r="I4" s="19"/>
      <c r="J4" s="19"/>
      <c r="K4" s="19"/>
      <c r="L4" s="19"/>
      <c r="M4" s="19"/>
      <c r="N4" s="19"/>
      <c r="O4" s="19"/>
      <c r="P4" s="19"/>
      <c r="Q4" s="19"/>
      <c r="R4" s="19" t="s">
        <v>2691</v>
      </c>
      <c r="S4" s="19"/>
      <c r="T4" s="33" t="s">
        <v>3</v>
      </c>
    </row>
    <row r="5" s="4" customFormat="1" ht="20.1" customHeight="1" spans="1:20">
      <c r="A5" s="17"/>
      <c r="B5" s="18"/>
      <c r="C5" s="19" t="s">
        <v>183</v>
      </c>
      <c r="D5" s="20" t="s">
        <v>2692</v>
      </c>
      <c r="E5" s="20" t="s">
        <v>2693</v>
      </c>
      <c r="F5" s="20" t="s">
        <v>2694</v>
      </c>
      <c r="G5" s="19" t="s">
        <v>183</v>
      </c>
      <c r="H5" s="19" t="s">
        <v>2695</v>
      </c>
      <c r="I5" s="19"/>
      <c r="J5" s="19"/>
      <c r="K5" s="19"/>
      <c r="L5" s="19"/>
      <c r="M5" s="19"/>
      <c r="N5" s="19"/>
      <c r="O5" s="19"/>
      <c r="P5" s="19" t="s">
        <v>2696</v>
      </c>
      <c r="Q5" s="19" t="s">
        <v>2697</v>
      </c>
      <c r="R5" s="19" t="s">
        <v>2698</v>
      </c>
      <c r="S5" s="19" t="s">
        <v>2699</v>
      </c>
      <c r="T5" s="33"/>
    </row>
    <row r="6" s="4" customFormat="1" ht="39" customHeight="1" spans="1:21">
      <c r="A6" s="17"/>
      <c r="B6" s="18"/>
      <c r="C6" s="19"/>
      <c r="D6" s="20"/>
      <c r="E6" s="20"/>
      <c r="F6" s="20"/>
      <c r="G6" s="19"/>
      <c r="H6" s="19" t="s">
        <v>568</v>
      </c>
      <c r="I6" s="19" t="s">
        <v>2700</v>
      </c>
      <c r="J6" s="19" t="s">
        <v>2701</v>
      </c>
      <c r="K6" s="20" t="s">
        <v>2702</v>
      </c>
      <c r="L6" s="20" t="s">
        <v>2703</v>
      </c>
      <c r="M6" s="20" t="s">
        <v>2704</v>
      </c>
      <c r="N6" s="20" t="s">
        <v>2705</v>
      </c>
      <c r="O6" s="19" t="s">
        <v>2706</v>
      </c>
      <c r="P6" s="19"/>
      <c r="Q6" s="19"/>
      <c r="R6" s="19"/>
      <c r="S6" s="19"/>
      <c r="T6" s="33"/>
      <c r="U6" s="4" t="s">
        <v>2707</v>
      </c>
    </row>
    <row r="7" s="5" customFormat="1" ht="18.5" customHeight="1" spans="1:21">
      <c r="A7" s="21"/>
      <c r="B7" s="22" t="s">
        <v>562</v>
      </c>
      <c r="C7" s="23">
        <f t="shared" ref="C7:S7" si="0">C8+C33+C50+C87+C106+C109+C118+C186</f>
        <v>16691</v>
      </c>
      <c r="D7" s="23">
        <f t="shared" si="0"/>
        <v>2167</v>
      </c>
      <c r="E7" s="23">
        <f t="shared" si="0"/>
        <v>14524</v>
      </c>
      <c r="F7" s="23">
        <f t="shared" si="0"/>
        <v>0</v>
      </c>
      <c r="G7" s="23">
        <f t="shared" si="0"/>
        <v>24171</v>
      </c>
      <c r="H7" s="23">
        <f t="shared" si="0"/>
        <v>15567</v>
      </c>
      <c r="I7" s="23">
        <f t="shared" si="0"/>
        <v>2095</v>
      </c>
      <c r="J7" s="23">
        <f t="shared" si="0"/>
        <v>236</v>
      </c>
      <c r="K7" s="23">
        <f t="shared" si="0"/>
        <v>8598</v>
      </c>
      <c r="L7" s="23">
        <f t="shared" si="0"/>
        <v>4030</v>
      </c>
      <c r="M7" s="23">
        <f t="shared" si="0"/>
        <v>297</v>
      </c>
      <c r="N7" s="23">
        <f t="shared" si="0"/>
        <v>160</v>
      </c>
      <c r="O7" s="23">
        <f t="shared" si="0"/>
        <v>151</v>
      </c>
      <c r="P7" s="23">
        <f t="shared" si="0"/>
        <v>21</v>
      </c>
      <c r="Q7" s="23">
        <f t="shared" si="0"/>
        <v>8583</v>
      </c>
      <c r="R7" s="23">
        <f t="shared" si="0"/>
        <v>1025</v>
      </c>
      <c r="S7" s="23">
        <f t="shared" si="0"/>
        <v>148</v>
      </c>
      <c r="T7" s="23"/>
      <c r="U7" s="34" t="s">
        <v>2708</v>
      </c>
    </row>
    <row r="8" s="6" customFormat="1" ht="18.5" customHeight="1" spans="1:21">
      <c r="A8" s="21"/>
      <c r="B8" s="22" t="s">
        <v>579</v>
      </c>
      <c r="C8" s="23">
        <f t="shared" ref="C8:S8" si="1">SUM(C9:C32)</f>
        <v>1822</v>
      </c>
      <c r="D8" s="23">
        <f t="shared" si="1"/>
        <v>1162</v>
      </c>
      <c r="E8" s="23">
        <f t="shared" si="1"/>
        <v>660</v>
      </c>
      <c r="F8" s="23">
        <f t="shared" si="1"/>
        <v>0</v>
      </c>
      <c r="G8" s="23">
        <f t="shared" si="1"/>
        <v>2693</v>
      </c>
      <c r="H8" s="23">
        <f t="shared" si="1"/>
        <v>1859</v>
      </c>
      <c r="I8" s="23">
        <f t="shared" si="1"/>
        <v>1111</v>
      </c>
      <c r="J8" s="23">
        <f t="shared" si="1"/>
        <v>120</v>
      </c>
      <c r="K8" s="23">
        <f t="shared" si="1"/>
        <v>483</v>
      </c>
      <c r="L8" s="23">
        <f t="shared" si="1"/>
        <v>6</v>
      </c>
      <c r="M8" s="23">
        <f t="shared" si="1"/>
        <v>0</v>
      </c>
      <c r="N8" s="23">
        <f t="shared" si="1"/>
        <v>31</v>
      </c>
      <c r="O8" s="23">
        <f t="shared" si="1"/>
        <v>108</v>
      </c>
      <c r="P8" s="23">
        <f t="shared" si="1"/>
        <v>2</v>
      </c>
      <c r="Q8" s="23">
        <f t="shared" si="1"/>
        <v>832</v>
      </c>
      <c r="R8" s="23">
        <f t="shared" si="1"/>
        <v>53</v>
      </c>
      <c r="S8" s="23">
        <f t="shared" si="1"/>
        <v>0</v>
      </c>
      <c r="T8" s="35"/>
      <c r="U8" s="36" t="s">
        <v>2708</v>
      </c>
    </row>
    <row r="9" ht="18.5" customHeight="1" outlineLevel="1" spans="1:21">
      <c r="A9" s="24" t="s">
        <v>580</v>
      </c>
      <c r="B9" s="25" t="s">
        <v>1166</v>
      </c>
      <c r="C9" s="26">
        <f t="shared" ref="C9:C32" si="2">SUM(D9:E9)</f>
        <v>62</v>
      </c>
      <c r="D9" s="26">
        <v>35</v>
      </c>
      <c r="E9" s="26">
        <v>27</v>
      </c>
      <c r="F9" s="26"/>
      <c r="G9" s="26">
        <f t="shared" ref="G9:G32" si="3">SUM(P9,Q9,H9)</f>
        <v>97</v>
      </c>
      <c r="H9" s="26">
        <f t="shared" ref="H9:H32" si="4">SUM(I9:O9)</f>
        <v>66</v>
      </c>
      <c r="I9" s="26">
        <v>30</v>
      </c>
      <c r="J9" s="26">
        <v>3</v>
      </c>
      <c r="K9" s="26">
        <v>19</v>
      </c>
      <c r="L9" s="26"/>
      <c r="M9" s="26"/>
      <c r="N9" s="26"/>
      <c r="O9" s="26">
        <v>14</v>
      </c>
      <c r="P9" s="26"/>
      <c r="Q9" s="26">
        <v>31</v>
      </c>
      <c r="R9" s="26">
        <v>2</v>
      </c>
      <c r="S9" s="26"/>
      <c r="T9" s="37"/>
      <c r="U9" s="38"/>
    </row>
    <row r="10" ht="18.5" customHeight="1" outlineLevel="1" spans="1:21">
      <c r="A10" s="24" t="s">
        <v>582</v>
      </c>
      <c r="B10" s="25" t="s">
        <v>1172</v>
      </c>
      <c r="C10" s="26">
        <f t="shared" si="2"/>
        <v>15</v>
      </c>
      <c r="D10" s="26">
        <v>5</v>
      </c>
      <c r="E10" s="26">
        <v>10</v>
      </c>
      <c r="F10" s="26"/>
      <c r="G10" s="26">
        <f t="shared" si="3"/>
        <v>14</v>
      </c>
      <c r="H10" s="26">
        <f t="shared" si="4"/>
        <v>13</v>
      </c>
      <c r="I10" s="26">
        <v>5</v>
      </c>
      <c r="J10" s="26"/>
      <c r="K10" s="26">
        <v>8</v>
      </c>
      <c r="L10" s="26"/>
      <c r="M10" s="26"/>
      <c r="N10" s="26"/>
      <c r="O10" s="26"/>
      <c r="P10" s="26"/>
      <c r="Q10" s="26">
        <v>1</v>
      </c>
      <c r="R10" s="26"/>
      <c r="S10" s="26"/>
      <c r="T10" s="37"/>
      <c r="U10" s="38"/>
    </row>
    <row r="11" ht="18.5" customHeight="1" outlineLevel="1" spans="1:21">
      <c r="A11" s="24" t="s">
        <v>584</v>
      </c>
      <c r="B11" s="25" t="s">
        <v>585</v>
      </c>
      <c r="C11" s="26">
        <f t="shared" si="2"/>
        <v>20</v>
      </c>
      <c r="D11" s="26">
        <v>7</v>
      </c>
      <c r="E11" s="26">
        <v>13</v>
      </c>
      <c r="F11" s="26"/>
      <c r="G11" s="26">
        <f t="shared" si="3"/>
        <v>26</v>
      </c>
      <c r="H11" s="26">
        <f t="shared" si="4"/>
        <v>22</v>
      </c>
      <c r="I11" s="26">
        <v>8</v>
      </c>
      <c r="J11" s="26"/>
      <c r="K11" s="26">
        <v>12</v>
      </c>
      <c r="L11" s="26"/>
      <c r="M11" s="26"/>
      <c r="N11" s="26"/>
      <c r="O11" s="26">
        <v>2</v>
      </c>
      <c r="P11" s="26"/>
      <c r="Q11" s="26">
        <v>4</v>
      </c>
      <c r="R11" s="26">
        <v>1</v>
      </c>
      <c r="S11" s="26"/>
      <c r="T11" s="37"/>
      <c r="U11" s="38"/>
    </row>
    <row r="12" ht="18.5" customHeight="1" outlineLevel="1" spans="1:21">
      <c r="A12" s="24" t="s">
        <v>586</v>
      </c>
      <c r="B12" s="25" t="s">
        <v>1179</v>
      </c>
      <c r="C12" s="26">
        <f t="shared" si="2"/>
        <v>68</v>
      </c>
      <c r="D12" s="26">
        <v>32</v>
      </c>
      <c r="E12" s="26">
        <v>36</v>
      </c>
      <c r="F12" s="26"/>
      <c r="G12" s="26">
        <f t="shared" si="3"/>
        <v>85</v>
      </c>
      <c r="H12" s="26">
        <f t="shared" si="4"/>
        <v>62</v>
      </c>
      <c r="I12" s="26">
        <v>20</v>
      </c>
      <c r="J12" s="26">
        <v>17</v>
      </c>
      <c r="K12" s="26">
        <v>21</v>
      </c>
      <c r="L12" s="26"/>
      <c r="M12" s="26"/>
      <c r="N12" s="26"/>
      <c r="O12" s="26">
        <v>4</v>
      </c>
      <c r="P12" s="26"/>
      <c r="Q12" s="26">
        <v>23</v>
      </c>
      <c r="R12" s="26">
        <v>2</v>
      </c>
      <c r="S12" s="26"/>
      <c r="T12" s="37"/>
      <c r="U12" s="38"/>
    </row>
    <row r="13" ht="18.5" customHeight="1" outlineLevel="1" spans="1:21">
      <c r="A13" s="24" t="s">
        <v>590</v>
      </c>
      <c r="B13" s="25" t="s">
        <v>1191</v>
      </c>
      <c r="C13" s="26">
        <f t="shared" si="2"/>
        <v>33</v>
      </c>
      <c r="D13" s="26">
        <v>13</v>
      </c>
      <c r="E13" s="26">
        <v>20</v>
      </c>
      <c r="F13" s="26"/>
      <c r="G13" s="26">
        <f t="shared" si="3"/>
        <v>48</v>
      </c>
      <c r="H13" s="26">
        <f t="shared" si="4"/>
        <v>37</v>
      </c>
      <c r="I13" s="26">
        <v>14</v>
      </c>
      <c r="J13" s="26">
        <v>1</v>
      </c>
      <c r="K13" s="26">
        <v>19</v>
      </c>
      <c r="L13" s="26"/>
      <c r="M13" s="26"/>
      <c r="N13" s="26"/>
      <c r="O13" s="26">
        <v>3</v>
      </c>
      <c r="P13" s="26"/>
      <c r="Q13" s="26">
        <v>11</v>
      </c>
      <c r="R13" s="26"/>
      <c r="S13" s="26"/>
      <c r="T13" s="37"/>
      <c r="U13" s="38"/>
    </row>
    <row r="14" ht="18.5" customHeight="1" outlineLevel="1" spans="1:21">
      <c r="A14" s="24" t="s">
        <v>592</v>
      </c>
      <c r="B14" s="25" t="s">
        <v>593</v>
      </c>
      <c r="C14" s="26">
        <f t="shared" si="2"/>
        <v>11</v>
      </c>
      <c r="D14" s="26">
        <v>5</v>
      </c>
      <c r="E14" s="26">
        <v>6</v>
      </c>
      <c r="F14" s="26"/>
      <c r="G14" s="26">
        <f t="shared" si="3"/>
        <v>22</v>
      </c>
      <c r="H14" s="26">
        <f t="shared" si="4"/>
        <v>12</v>
      </c>
      <c r="I14" s="26">
        <v>7</v>
      </c>
      <c r="J14" s="26"/>
      <c r="K14" s="26">
        <v>4</v>
      </c>
      <c r="L14" s="26"/>
      <c r="M14" s="26"/>
      <c r="N14" s="26"/>
      <c r="O14" s="26">
        <v>1</v>
      </c>
      <c r="P14" s="26"/>
      <c r="Q14" s="26">
        <v>10</v>
      </c>
      <c r="R14" s="26"/>
      <c r="S14" s="26"/>
      <c r="T14" s="37"/>
      <c r="U14" s="38"/>
    </row>
    <row r="15" ht="18.5" customHeight="1" outlineLevel="1" spans="1:21">
      <c r="A15" s="24" t="s">
        <v>594</v>
      </c>
      <c r="B15" s="25" t="s">
        <v>595</v>
      </c>
      <c r="C15" s="26">
        <f t="shared" si="2"/>
        <v>6</v>
      </c>
      <c r="D15" s="26">
        <v>6</v>
      </c>
      <c r="E15" s="26"/>
      <c r="F15" s="26"/>
      <c r="G15" s="26">
        <f t="shared" si="3"/>
        <v>7</v>
      </c>
      <c r="H15" s="26">
        <f t="shared" si="4"/>
        <v>7</v>
      </c>
      <c r="I15" s="26">
        <v>6</v>
      </c>
      <c r="J15" s="26"/>
      <c r="K15" s="26"/>
      <c r="L15" s="26"/>
      <c r="M15" s="26"/>
      <c r="N15" s="26"/>
      <c r="O15" s="26">
        <v>1</v>
      </c>
      <c r="P15" s="26"/>
      <c r="Q15" s="26"/>
      <c r="R15" s="26"/>
      <c r="S15" s="26"/>
      <c r="T15" s="37"/>
      <c r="U15" s="38"/>
    </row>
    <row r="16" ht="18.5" customHeight="1" outlineLevel="1" spans="1:21">
      <c r="A16" s="24" t="s">
        <v>596</v>
      </c>
      <c r="B16" s="25" t="s">
        <v>597</v>
      </c>
      <c r="C16" s="26">
        <f t="shared" si="2"/>
        <v>9</v>
      </c>
      <c r="D16" s="26">
        <v>6</v>
      </c>
      <c r="E16" s="26">
        <v>3</v>
      </c>
      <c r="F16" s="26"/>
      <c r="G16" s="26">
        <f t="shared" si="3"/>
        <v>10</v>
      </c>
      <c r="H16" s="26">
        <f t="shared" si="4"/>
        <v>10</v>
      </c>
      <c r="I16" s="26">
        <v>6</v>
      </c>
      <c r="J16" s="26"/>
      <c r="K16" s="26">
        <v>3</v>
      </c>
      <c r="L16" s="26"/>
      <c r="M16" s="26"/>
      <c r="N16" s="26"/>
      <c r="O16" s="26">
        <v>1</v>
      </c>
      <c r="P16" s="26"/>
      <c r="Q16" s="26"/>
      <c r="R16" s="26"/>
      <c r="S16" s="26"/>
      <c r="T16" s="37"/>
      <c r="U16" s="38"/>
    </row>
    <row r="17" ht="18.5" customHeight="1" outlineLevel="1" spans="1:21">
      <c r="A17" s="24" t="s">
        <v>598</v>
      </c>
      <c r="B17" s="25" t="s">
        <v>599</v>
      </c>
      <c r="C17" s="26">
        <f t="shared" si="2"/>
        <v>42</v>
      </c>
      <c r="D17" s="26">
        <v>24</v>
      </c>
      <c r="E17" s="26">
        <v>18</v>
      </c>
      <c r="F17" s="26"/>
      <c r="G17" s="26">
        <f t="shared" si="3"/>
        <v>118</v>
      </c>
      <c r="H17" s="26">
        <f t="shared" si="4"/>
        <v>48</v>
      </c>
      <c r="I17" s="26">
        <v>20</v>
      </c>
      <c r="J17" s="26">
        <v>9</v>
      </c>
      <c r="K17" s="26">
        <v>13</v>
      </c>
      <c r="L17" s="26"/>
      <c r="M17" s="26"/>
      <c r="N17" s="26"/>
      <c r="O17" s="26">
        <v>6</v>
      </c>
      <c r="P17" s="26"/>
      <c r="Q17" s="26">
        <v>70</v>
      </c>
      <c r="R17" s="26"/>
      <c r="S17" s="26"/>
      <c r="T17" s="37"/>
      <c r="U17" s="38"/>
    </row>
    <row r="18" ht="18.5" customHeight="1" outlineLevel="1" spans="1:21">
      <c r="A18" s="24" t="s">
        <v>600</v>
      </c>
      <c r="B18" s="25" t="s">
        <v>601</v>
      </c>
      <c r="C18" s="26">
        <f t="shared" si="2"/>
        <v>38</v>
      </c>
      <c r="D18" s="26">
        <v>23</v>
      </c>
      <c r="E18" s="26">
        <v>15</v>
      </c>
      <c r="F18" s="26"/>
      <c r="G18" s="26">
        <f t="shared" si="3"/>
        <v>90</v>
      </c>
      <c r="H18" s="26">
        <f t="shared" si="4"/>
        <v>36</v>
      </c>
      <c r="I18" s="26">
        <v>17</v>
      </c>
      <c r="J18" s="26"/>
      <c r="K18" s="26">
        <v>15</v>
      </c>
      <c r="L18" s="26"/>
      <c r="M18" s="26"/>
      <c r="N18" s="26"/>
      <c r="O18" s="26">
        <v>4</v>
      </c>
      <c r="P18" s="26">
        <v>1</v>
      </c>
      <c r="Q18" s="26">
        <v>53</v>
      </c>
      <c r="R18" s="26">
        <v>2</v>
      </c>
      <c r="S18" s="26"/>
      <c r="T18" s="37"/>
      <c r="U18" s="38"/>
    </row>
    <row r="19" ht="18.5" customHeight="1" outlineLevel="1" spans="1:21">
      <c r="A19" s="24" t="s">
        <v>1043</v>
      </c>
      <c r="B19" s="25" t="s">
        <v>603</v>
      </c>
      <c r="C19" s="26">
        <f t="shared" si="2"/>
        <v>99</v>
      </c>
      <c r="D19" s="26">
        <v>44</v>
      </c>
      <c r="E19" s="26">
        <v>55</v>
      </c>
      <c r="F19" s="26"/>
      <c r="G19" s="26">
        <f t="shared" si="3"/>
        <v>164</v>
      </c>
      <c r="H19" s="26">
        <f t="shared" si="4"/>
        <v>110</v>
      </c>
      <c r="I19" s="26">
        <v>37</v>
      </c>
      <c r="J19" s="26"/>
      <c r="K19" s="26">
        <v>56</v>
      </c>
      <c r="L19" s="26"/>
      <c r="M19" s="26"/>
      <c r="N19" s="26"/>
      <c r="O19" s="26">
        <v>17</v>
      </c>
      <c r="P19" s="26"/>
      <c r="Q19" s="26">
        <v>54</v>
      </c>
      <c r="R19" s="26">
        <v>2</v>
      </c>
      <c r="S19" s="26"/>
      <c r="T19" s="37"/>
      <c r="U19" s="38"/>
    </row>
    <row r="20" ht="18.5" customHeight="1" outlineLevel="1" spans="1:21">
      <c r="A20" s="24" t="s">
        <v>604</v>
      </c>
      <c r="B20" s="25" t="s">
        <v>605</v>
      </c>
      <c r="C20" s="26">
        <f t="shared" si="2"/>
        <v>25</v>
      </c>
      <c r="D20" s="26"/>
      <c r="E20" s="26">
        <v>25</v>
      </c>
      <c r="F20" s="26"/>
      <c r="G20" s="26">
        <f t="shared" si="3"/>
        <v>26</v>
      </c>
      <c r="H20" s="26">
        <f t="shared" si="4"/>
        <v>25</v>
      </c>
      <c r="I20" s="26"/>
      <c r="J20" s="26"/>
      <c r="K20" s="26">
        <v>25</v>
      </c>
      <c r="L20" s="26"/>
      <c r="M20" s="26"/>
      <c r="N20" s="26"/>
      <c r="O20" s="26"/>
      <c r="P20" s="26"/>
      <c r="Q20" s="26">
        <v>1</v>
      </c>
      <c r="R20" s="26"/>
      <c r="S20" s="26"/>
      <c r="T20" s="37"/>
      <c r="U20" s="38"/>
    </row>
    <row r="21" ht="18.5" customHeight="1" outlineLevel="1" spans="1:21">
      <c r="A21" s="24" t="s">
        <v>606</v>
      </c>
      <c r="B21" s="25" t="s">
        <v>1228</v>
      </c>
      <c r="C21" s="26">
        <f t="shared" si="2"/>
        <v>15</v>
      </c>
      <c r="D21" s="26">
        <v>8</v>
      </c>
      <c r="E21" s="26">
        <v>7</v>
      </c>
      <c r="F21" s="26"/>
      <c r="G21" s="26">
        <f t="shared" si="3"/>
        <v>18</v>
      </c>
      <c r="H21" s="26">
        <f t="shared" si="4"/>
        <v>16</v>
      </c>
      <c r="I21" s="26">
        <v>7</v>
      </c>
      <c r="J21" s="26"/>
      <c r="K21" s="26">
        <v>8</v>
      </c>
      <c r="L21" s="26"/>
      <c r="M21" s="26"/>
      <c r="N21" s="26"/>
      <c r="O21" s="26">
        <v>1</v>
      </c>
      <c r="P21" s="26"/>
      <c r="Q21" s="26">
        <v>2</v>
      </c>
      <c r="R21" s="26"/>
      <c r="S21" s="26"/>
      <c r="T21" s="37"/>
      <c r="U21" s="38"/>
    </row>
    <row r="22" ht="18.5" customHeight="1" outlineLevel="1" spans="1:21">
      <c r="A22" s="24" t="s">
        <v>608</v>
      </c>
      <c r="B22" s="25" t="s">
        <v>609</v>
      </c>
      <c r="C22" s="26">
        <f t="shared" si="2"/>
        <v>29</v>
      </c>
      <c r="D22" s="26">
        <v>12</v>
      </c>
      <c r="E22" s="26">
        <v>17</v>
      </c>
      <c r="F22" s="26"/>
      <c r="G22" s="26">
        <f t="shared" si="3"/>
        <v>36</v>
      </c>
      <c r="H22" s="26">
        <f t="shared" si="4"/>
        <v>26</v>
      </c>
      <c r="I22" s="26">
        <v>11</v>
      </c>
      <c r="J22" s="26">
        <v>1</v>
      </c>
      <c r="K22" s="26">
        <v>12</v>
      </c>
      <c r="L22" s="26"/>
      <c r="M22" s="26"/>
      <c r="N22" s="26"/>
      <c r="O22" s="26">
        <v>2</v>
      </c>
      <c r="P22" s="26"/>
      <c r="Q22" s="26">
        <v>10</v>
      </c>
      <c r="R22" s="26">
        <v>1</v>
      </c>
      <c r="S22" s="26"/>
      <c r="T22" s="37"/>
      <c r="U22" s="38"/>
    </row>
    <row r="23" ht="18.5" customHeight="1" outlineLevel="1" spans="1:21">
      <c r="A23" s="24" t="s">
        <v>610</v>
      </c>
      <c r="B23" s="25" t="s">
        <v>611</v>
      </c>
      <c r="C23" s="26">
        <f t="shared" si="2"/>
        <v>40</v>
      </c>
      <c r="D23" s="26">
        <v>17</v>
      </c>
      <c r="E23" s="26">
        <v>23</v>
      </c>
      <c r="F23" s="26"/>
      <c r="G23" s="26">
        <f t="shared" si="3"/>
        <v>62</v>
      </c>
      <c r="H23" s="26">
        <f t="shared" si="4"/>
        <v>38</v>
      </c>
      <c r="I23" s="26">
        <v>16</v>
      </c>
      <c r="J23" s="26">
        <v>8</v>
      </c>
      <c r="K23" s="26">
        <v>12</v>
      </c>
      <c r="L23" s="26"/>
      <c r="M23" s="26"/>
      <c r="N23" s="26"/>
      <c r="O23" s="26">
        <v>2</v>
      </c>
      <c r="P23" s="26"/>
      <c r="Q23" s="26">
        <v>24</v>
      </c>
      <c r="R23" s="26"/>
      <c r="S23" s="26"/>
      <c r="T23" s="37"/>
      <c r="U23" s="38"/>
    </row>
    <row r="24" ht="18.5" customHeight="1" outlineLevel="1" spans="1:22">
      <c r="A24" s="24" t="s">
        <v>612</v>
      </c>
      <c r="B24" s="25" t="s">
        <v>613</v>
      </c>
      <c r="C24" s="26">
        <f t="shared" si="2"/>
        <v>143</v>
      </c>
      <c r="D24" s="26">
        <v>34</v>
      </c>
      <c r="E24" s="26">
        <v>109</v>
      </c>
      <c r="F24" s="26"/>
      <c r="G24" s="26">
        <f t="shared" si="3"/>
        <v>234</v>
      </c>
      <c r="H24" s="26">
        <f t="shared" si="4"/>
        <v>140</v>
      </c>
      <c r="I24" s="26">
        <v>24</v>
      </c>
      <c r="J24" s="26">
        <v>66</v>
      </c>
      <c r="K24" s="26">
        <v>43</v>
      </c>
      <c r="L24" s="26"/>
      <c r="M24" s="26"/>
      <c r="N24" s="26"/>
      <c r="O24" s="26">
        <v>7</v>
      </c>
      <c r="P24" s="26"/>
      <c r="Q24" s="26">
        <v>94</v>
      </c>
      <c r="R24" s="26">
        <v>10</v>
      </c>
      <c r="S24" s="26"/>
      <c r="T24" s="37"/>
      <c r="U24" s="38"/>
      <c r="V24" s="11" t="s">
        <v>2709</v>
      </c>
    </row>
    <row r="25" ht="18.5" customHeight="1" outlineLevel="1" spans="1:21">
      <c r="A25" s="24" t="s">
        <v>614</v>
      </c>
      <c r="B25" s="25" t="s">
        <v>615</v>
      </c>
      <c r="C25" s="26">
        <f t="shared" si="2"/>
        <v>606</v>
      </c>
      <c r="D25" s="26">
        <v>569</v>
      </c>
      <c r="E25" s="26">
        <v>37</v>
      </c>
      <c r="F25" s="26"/>
      <c r="G25" s="26">
        <f t="shared" si="3"/>
        <v>786</v>
      </c>
      <c r="H25" s="26">
        <f t="shared" si="4"/>
        <v>592</v>
      </c>
      <c r="I25" s="26">
        <v>553</v>
      </c>
      <c r="J25" s="26"/>
      <c r="K25" s="26"/>
      <c r="L25" s="26"/>
      <c r="M25" s="26"/>
      <c r="N25" s="26">
        <v>31</v>
      </c>
      <c r="O25" s="26">
        <v>8</v>
      </c>
      <c r="P25" s="26"/>
      <c r="Q25" s="26">
        <v>194</v>
      </c>
      <c r="R25" s="26">
        <v>13</v>
      </c>
      <c r="S25" s="26"/>
      <c r="T25" s="37"/>
      <c r="U25" s="38"/>
    </row>
    <row r="26" ht="18.5" customHeight="1" outlineLevel="1" spans="1:21">
      <c r="A26" s="24" t="s">
        <v>616</v>
      </c>
      <c r="B26" s="25" t="s">
        <v>617</v>
      </c>
      <c r="C26" s="26">
        <f t="shared" si="2"/>
        <v>89</v>
      </c>
      <c r="D26" s="26">
        <v>61</v>
      </c>
      <c r="E26" s="26">
        <v>28</v>
      </c>
      <c r="F26" s="26"/>
      <c r="G26" s="26">
        <f t="shared" si="3"/>
        <v>133</v>
      </c>
      <c r="H26" s="26">
        <f t="shared" si="4"/>
        <v>87</v>
      </c>
      <c r="I26" s="26">
        <v>62</v>
      </c>
      <c r="J26" s="26"/>
      <c r="K26" s="26">
        <v>19</v>
      </c>
      <c r="L26" s="26">
        <v>6</v>
      </c>
      <c r="M26" s="26"/>
      <c r="N26" s="26"/>
      <c r="O26" s="26"/>
      <c r="P26" s="26">
        <v>1</v>
      </c>
      <c r="Q26" s="26">
        <v>45</v>
      </c>
      <c r="R26" s="26">
        <v>2</v>
      </c>
      <c r="S26" s="26"/>
      <c r="T26" s="37"/>
      <c r="U26" s="38"/>
    </row>
    <row r="27" ht="18.5" customHeight="1" outlineLevel="1" spans="1:21">
      <c r="A27" s="24" t="s">
        <v>618</v>
      </c>
      <c r="B27" s="25" t="s">
        <v>2190</v>
      </c>
      <c r="C27" s="26">
        <f t="shared" si="2"/>
        <v>18</v>
      </c>
      <c r="D27" s="26">
        <v>11</v>
      </c>
      <c r="E27" s="26">
        <v>7</v>
      </c>
      <c r="F27" s="26"/>
      <c r="G27" s="26">
        <f t="shared" si="3"/>
        <v>27</v>
      </c>
      <c r="H27" s="26">
        <f t="shared" si="4"/>
        <v>20</v>
      </c>
      <c r="I27" s="26">
        <v>11</v>
      </c>
      <c r="J27" s="26"/>
      <c r="K27" s="26">
        <v>7</v>
      </c>
      <c r="L27" s="26"/>
      <c r="M27" s="26"/>
      <c r="N27" s="26"/>
      <c r="O27" s="26">
        <v>2</v>
      </c>
      <c r="P27" s="26"/>
      <c r="Q27" s="26">
        <v>7</v>
      </c>
      <c r="R27" s="26"/>
      <c r="S27" s="26"/>
      <c r="T27" s="37"/>
      <c r="U27" s="38"/>
    </row>
    <row r="28" ht="18.5" customHeight="1" outlineLevel="1" spans="1:21">
      <c r="A28" s="24" t="s">
        <v>620</v>
      </c>
      <c r="B28" s="25" t="s">
        <v>1267</v>
      </c>
      <c r="C28" s="26">
        <f t="shared" si="2"/>
        <v>150</v>
      </c>
      <c r="D28" s="26">
        <v>118</v>
      </c>
      <c r="E28" s="26">
        <v>32</v>
      </c>
      <c r="F28" s="26"/>
      <c r="G28" s="26">
        <f t="shared" si="3"/>
        <v>161</v>
      </c>
      <c r="H28" s="26">
        <f t="shared" si="4"/>
        <v>147</v>
      </c>
      <c r="I28" s="26">
        <v>111</v>
      </c>
      <c r="J28" s="26"/>
      <c r="K28" s="26">
        <v>30</v>
      </c>
      <c r="L28" s="26"/>
      <c r="M28" s="26"/>
      <c r="N28" s="26"/>
      <c r="O28" s="26">
        <v>6</v>
      </c>
      <c r="P28" s="26"/>
      <c r="Q28" s="26">
        <v>14</v>
      </c>
      <c r="R28" s="26"/>
      <c r="S28" s="26"/>
      <c r="T28" s="37"/>
      <c r="U28" s="38"/>
    </row>
    <row r="29" ht="18.5" customHeight="1" outlineLevel="1" spans="1:21">
      <c r="A29" s="24" t="s">
        <v>622</v>
      </c>
      <c r="B29" s="25" t="s">
        <v>1275</v>
      </c>
      <c r="C29" s="26">
        <f t="shared" si="2"/>
        <v>21</v>
      </c>
      <c r="D29" s="26">
        <v>10</v>
      </c>
      <c r="E29" s="26">
        <v>11</v>
      </c>
      <c r="F29" s="26"/>
      <c r="G29" s="26">
        <f t="shared" si="3"/>
        <v>19</v>
      </c>
      <c r="H29" s="26">
        <f t="shared" si="4"/>
        <v>19</v>
      </c>
      <c r="I29" s="26">
        <v>10</v>
      </c>
      <c r="J29" s="26"/>
      <c r="K29" s="26">
        <v>9</v>
      </c>
      <c r="L29" s="26"/>
      <c r="M29" s="26"/>
      <c r="N29" s="26"/>
      <c r="O29" s="26"/>
      <c r="P29" s="26"/>
      <c r="Q29" s="26"/>
      <c r="R29" s="26"/>
      <c r="S29" s="26"/>
      <c r="T29" s="37"/>
      <c r="U29" s="38"/>
    </row>
    <row r="30" ht="18.5" customHeight="1" outlineLevel="1" spans="1:21">
      <c r="A30" s="24" t="s">
        <v>624</v>
      </c>
      <c r="B30" s="25" t="s">
        <v>625</v>
      </c>
      <c r="C30" s="26">
        <f t="shared" si="2"/>
        <v>244</v>
      </c>
      <c r="D30" s="26">
        <v>112</v>
      </c>
      <c r="E30" s="26">
        <v>132</v>
      </c>
      <c r="F30" s="26"/>
      <c r="G30" s="26">
        <f t="shared" si="3"/>
        <v>430</v>
      </c>
      <c r="H30" s="26">
        <f t="shared" si="4"/>
        <v>280</v>
      </c>
      <c r="I30" s="26">
        <v>126</v>
      </c>
      <c r="J30" s="26">
        <v>15</v>
      </c>
      <c r="K30" s="26">
        <v>114</v>
      </c>
      <c r="L30" s="26"/>
      <c r="M30" s="26"/>
      <c r="N30" s="26"/>
      <c r="O30" s="26">
        <v>25</v>
      </c>
      <c r="P30" s="26"/>
      <c r="Q30" s="26">
        <v>150</v>
      </c>
      <c r="R30" s="26">
        <v>15</v>
      </c>
      <c r="S30" s="26"/>
      <c r="T30" s="37"/>
      <c r="U30" s="38"/>
    </row>
    <row r="31" ht="18.5" customHeight="1" outlineLevel="1" spans="1:21">
      <c r="A31" s="24" t="s">
        <v>626</v>
      </c>
      <c r="B31" s="25" t="s">
        <v>627</v>
      </c>
      <c r="C31" s="26">
        <f t="shared" si="2"/>
        <v>24</v>
      </c>
      <c r="D31" s="26"/>
      <c r="E31" s="26">
        <v>24</v>
      </c>
      <c r="F31" s="26"/>
      <c r="G31" s="26">
        <f t="shared" si="3"/>
        <v>46</v>
      </c>
      <c r="H31" s="26">
        <f t="shared" si="4"/>
        <v>29</v>
      </c>
      <c r="I31" s="26"/>
      <c r="J31" s="26"/>
      <c r="K31" s="26">
        <v>29</v>
      </c>
      <c r="L31" s="26"/>
      <c r="M31" s="26"/>
      <c r="N31" s="26"/>
      <c r="O31" s="26"/>
      <c r="P31" s="26"/>
      <c r="Q31" s="26">
        <v>17</v>
      </c>
      <c r="R31" s="26">
        <v>3</v>
      </c>
      <c r="S31" s="26"/>
      <c r="T31" s="37"/>
      <c r="U31" s="38"/>
    </row>
    <row r="32" ht="18.5" customHeight="1" outlineLevel="1" spans="1:21">
      <c r="A32" s="24" t="s">
        <v>628</v>
      </c>
      <c r="B32" s="25" t="s">
        <v>629</v>
      </c>
      <c r="C32" s="26">
        <f t="shared" si="2"/>
        <v>15</v>
      </c>
      <c r="D32" s="26">
        <v>10</v>
      </c>
      <c r="E32" s="26">
        <v>5</v>
      </c>
      <c r="F32" s="26"/>
      <c r="G32" s="26">
        <f t="shared" si="3"/>
        <v>34</v>
      </c>
      <c r="H32" s="26">
        <f t="shared" si="4"/>
        <v>17</v>
      </c>
      <c r="I32" s="26">
        <v>10</v>
      </c>
      <c r="J32" s="26"/>
      <c r="K32" s="26">
        <v>5</v>
      </c>
      <c r="L32" s="26"/>
      <c r="M32" s="26"/>
      <c r="N32" s="26"/>
      <c r="O32" s="26">
        <v>2</v>
      </c>
      <c r="P32" s="26"/>
      <c r="Q32" s="26">
        <v>17</v>
      </c>
      <c r="R32" s="26"/>
      <c r="S32" s="26"/>
      <c r="T32" s="37"/>
      <c r="U32" s="38" t="s">
        <v>2710</v>
      </c>
    </row>
    <row r="33" s="6" customFormat="1" ht="18.5" customHeight="1" spans="1:21">
      <c r="A33" s="21"/>
      <c r="B33" s="27" t="s">
        <v>630</v>
      </c>
      <c r="C33" s="28">
        <f t="shared" ref="C33:S33" si="5">SUM(C34:C49)</f>
        <v>520</v>
      </c>
      <c r="D33" s="28">
        <f t="shared" si="5"/>
        <v>44</v>
      </c>
      <c r="E33" s="28">
        <f t="shared" si="5"/>
        <v>476</v>
      </c>
      <c r="F33" s="28">
        <f t="shared" si="5"/>
        <v>0</v>
      </c>
      <c r="G33" s="28">
        <f t="shared" si="5"/>
        <v>735</v>
      </c>
      <c r="H33" s="28">
        <f t="shared" si="5"/>
        <v>431</v>
      </c>
      <c r="I33" s="28">
        <f t="shared" si="5"/>
        <v>47</v>
      </c>
      <c r="J33" s="28">
        <f t="shared" si="5"/>
        <v>32</v>
      </c>
      <c r="K33" s="28">
        <f t="shared" si="5"/>
        <v>335</v>
      </c>
      <c r="L33" s="28">
        <f t="shared" si="5"/>
        <v>0</v>
      </c>
      <c r="M33" s="28">
        <f t="shared" si="5"/>
        <v>3</v>
      </c>
      <c r="N33" s="28">
        <f t="shared" si="5"/>
        <v>3</v>
      </c>
      <c r="O33" s="28">
        <f t="shared" si="5"/>
        <v>11</v>
      </c>
      <c r="P33" s="28">
        <f t="shared" si="5"/>
        <v>1</v>
      </c>
      <c r="Q33" s="28">
        <f t="shared" si="5"/>
        <v>303</v>
      </c>
      <c r="R33" s="28">
        <f t="shared" si="5"/>
        <v>26</v>
      </c>
      <c r="S33" s="28">
        <f t="shared" si="5"/>
        <v>0</v>
      </c>
      <c r="T33" s="39"/>
      <c r="U33" s="36" t="s">
        <v>2708</v>
      </c>
    </row>
    <row r="34" ht="18.5" customHeight="1" outlineLevel="1" spans="1:21">
      <c r="A34" s="24" t="s">
        <v>631</v>
      </c>
      <c r="B34" s="25" t="s">
        <v>632</v>
      </c>
      <c r="C34" s="26">
        <f t="shared" ref="C34:C49" si="6">SUM(D34:E34)</f>
        <v>39</v>
      </c>
      <c r="D34" s="26">
        <v>25</v>
      </c>
      <c r="E34" s="26">
        <v>14</v>
      </c>
      <c r="F34" s="26"/>
      <c r="G34" s="26">
        <f t="shared" ref="G34:G49" si="7">SUM(P34,Q34,H34)</f>
        <v>78</v>
      </c>
      <c r="H34" s="26">
        <f t="shared" ref="H34:H49" si="8">SUM(I34:O34)</f>
        <v>45</v>
      </c>
      <c r="I34" s="26">
        <v>25</v>
      </c>
      <c r="J34" s="26"/>
      <c r="K34" s="26">
        <v>14</v>
      </c>
      <c r="L34" s="26"/>
      <c r="M34" s="26">
        <v>3</v>
      </c>
      <c r="N34" s="26"/>
      <c r="O34" s="26">
        <v>3</v>
      </c>
      <c r="P34" s="26"/>
      <c r="Q34" s="26">
        <v>33</v>
      </c>
      <c r="R34" s="26">
        <v>7</v>
      </c>
      <c r="S34" s="26"/>
      <c r="T34" s="37"/>
      <c r="U34" s="40"/>
    </row>
    <row r="35" ht="18.5" customHeight="1" outlineLevel="1" spans="1:21">
      <c r="A35" s="24" t="s">
        <v>633</v>
      </c>
      <c r="B35" s="25" t="s">
        <v>634</v>
      </c>
      <c r="C35" s="26">
        <f t="shared" si="6"/>
        <v>28</v>
      </c>
      <c r="D35" s="26"/>
      <c r="E35" s="26">
        <v>28</v>
      </c>
      <c r="F35" s="26"/>
      <c r="G35" s="26">
        <f t="shared" si="7"/>
        <v>49</v>
      </c>
      <c r="H35" s="26">
        <f t="shared" si="8"/>
        <v>19</v>
      </c>
      <c r="I35" s="26"/>
      <c r="J35" s="26">
        <v>7</v>
      </c>
      <c r="K35" s="26">
        <v>11</v>
      </c>
      <c r="L35" s="26"/>
      <c r="M35" s="26"/>
      <c r="N35" s="26"/>
      <c r="O35" s="26">
        <v>1</v>
      </c>
      <c r="P35" s="26"/>
      <c r="Q35" s="26">
        <v>30</v>
      </c>
      <c r="R35" s="26">
        <v>4</v>
      </c>
      <c r="S35" s="26"/>
      <c r="T35" s="37"/>
      <c r="U35" s="40"/>
    </row>
    <row r="36" ht="18.5" customHeight="1" outlineLevel="1" spans="1:21">
      <c r="A36" s="24" t="s">
        <v>635</v>
      </c>
      <c r="B36" s="25" t="s">
        <v>636</v>
      </c>
      <c r="C36" s="26">
        <f t="shared" si="6"/>
        <v>96</v>
      </c>
      <c r="D36" s="26"/>
      <c r="E36" s="26">
        <v>96</v>
      </c>
      <c r="F36" s="26"/>
      <c r="G36" s="26">
        <f t="shared" si="7"/>
        <v>117</v>
      </c>
      <c r="H36" s="26">
        <f t="shared" si="8"/>
        <v>81</v>
      </c>
      <c r="I36" s="26"/>
      <c r="J36" s="26"/>
      <c r="K36" s="26">
        <v>78</v>
      </c>
      <c r="L36" s="26"/>
      <c r="M36" s="26"/>
      <c r="N36" s="26">
        <v>3</v>
      </c>
      <c r="O36" s="26"/>
      <c r="P36" s="26"/>
      <c r="Q36" s="26">
        <v>36</v>
      </c>
      <c r="R36" s="26">
        <v>1</v>
      </c>
      <c r="S36" s="26"/>
      <c r="T36" s="37"/>
      <c r="U36" s="40" t="s">
        <v>2711</v>
      </c>
    </row>
    <row r="37" ht="18.5" customHeight="1" outlineLevel="1" spans="1:21">
      <c r="A37" s="24" t="s">
        <v>637</v>
      </c>
      <c r="B37" s="25" t="s">
        <v>638</v>
      </c>
      <c r="C37" s="26">
        <f t="shared" si="6"/>
        <v>18</v>
      </c>
      <c r="D37" s="26"/>
      <c r="E37" s="26">
        <v>18</v>
      </c>
      <c r="F37" s="26"/>
      <c r="G37" s="26">
        <f t="shared" si="7"/>
        <v>17</v>
      </c>
      <c r="H37" s="26">
        <f t="shared" si="8"/>
        <v>11</v>
      </c>
      <c r="I37" s="26"/>
      <c r="J37" s="26">
        <v>3</v>
      </c>
      <c r="K37" s="26">
        <v>8</v>
      </c>
      <c r="L37" s="26"/>
      <c r="M37" s="26"/>
      <c r="N37" s="26"/>
      <c r="O37" s="26"/>
      <c r="P37" s="26"/>
      <c r="Q37" s="26">
        <v>6</v>
      </c>
      <c r="R37" s="26"/>
      <c r="S37" s="26"/>
      <c r="T37" s="37"/>
      <c r="U37" s="40" t="s">
        <v>2711</v>
      </c>
    </row>
    <row r="38" ht="18.5" customHeight="1" outlineLevel="1" spans="1:21">
      <c r="A38" s="24" t="s">
        <v>639</v>
      </c>
      <c r="B38" s="25" t="s">
        <v>640</v>
      </c>
      <c r="C38" s="26">
        <f t="shared" si="6"/>
        <v>28</v>
      </c>
      <c r="D38" s="26"/>
      <c r="E38" s="26">
        <v>28</v>
      </c>
      <c r="F38" s="26"/>
      <c r="G38" s="26">
        <f t="shared" si="7"/>
        <v>48</v>
      </c>
      <c r="H38" s="26">
        <f t="shared" si="8"/>
        <v>28</v>
      </c>
      <c r="I38" s="26"/>
      <c r="J38" s="26"/>
      <c r="K38" s="26">
        <v>28</v>
      </c>
      <c r="L38" s="26"/>
      <c r="M38" s="26"/>
      <c r="N38" s="26"/>
      <c r="O38" s="26"/>
      <c r="P38" s="26"/>
      <c r="Q38" s="26">
        <v>20</v>
      </c>
      <c r="R38" s="26"/>
      <c r="S38" s="26"/>
      <c r="T38" s="37"/>
      <c r="U38" s="40" t="s">
        <v>2711</v>
      </c>
    </row>
    <row r="39" ht="18.5" customHeight="1" outlineLevel="1" spans="1:21">
      <c r="A39" s="24" t="s">
        <v>641</v>
      </c>
      <c r="B39" s="25" t="s">
        <v>642</v>
      </c>
      <c r="C39" s="26">
        <f t="shared" si="6"/>
        <v>12</v>
      </c>
      <c r="D39" s="26"/>
      <c r="E39" s="26">
        <v>12</v>
      </c>
      <c r="F39" s="26"/>
      <c r="G39" s="26">
        <f t="shared" si="7"/>
        <v>34</v>
      </c>
      <c r="H39" s="26">
        <f t="shared" si="8"/>
        <v>16</v>
      </c>
      <c r="I39" s="26"/>
      <c r="J39" s="26"/>
      <c r="K39" s="26">
        <v>16</v>
      </c>
      <c r="L39" s="26"/>
      <c r="M39" s="26"/>
      <c r="N39" s="26"/>
      <c r="O39" s="26"/>
      <c r="P39" s="26"/>
      <c r="Q39" s="26">
        <v>18</v>
      </c>
      <c r="R39" s="26"/>
      <c r="S39" s="26"/>
      <c r="T39" s="37"/>
      <c r="U39" s="40" t="s">
        <v>2711</v>
      </c>
    </row>
    <row r="40" ht="18.5" customHeight="1" outlineLevel="1" spans="1:21">
      <c r="A40" s="24" t="s">
        <v>643</v>
      </c>
      <c r="B40" s="25" t="s">
        <v>644</v>
      </c>
      <c r="C40" s="26">
        <f t="shared" si="6"/>
        <v>21</v>
      </c>
      <c r="D40" s="26"/>
      <c r="E40" s="26">
        <v>21</v>
      </c>
      <c r="F40" s="26"/>
      <c r="G40" s="26">
        <f t="shared" si="7"/>
        <v>15</v>
      </c>
      <c r="H40" s="26">
        <f t="shared" si="8"/>
        <v>2</v>
      </c>
      <c r="I40" s="26"/>
      <c r="J40" s="26"/>
      <c r="K40" s="26">
        <v>2</v>
      </c>
      <c r="L40" s="26"/>
      <c r="M40" s="26"/>
      <c r="N40" s="26"/>
      <c r="O40" s="26"/>
      <c r="P40" s="26"/>
      <c r="Q40" s="26">
        <v>13</v>
      </c>
      <c r="R40" s="26">
        <v>1</v>
      </c>
      <c r="S40" s="26"/>
      <c r="T40" s="37"/>
      <c r="U40" s="40" t="s">
        <v>2711</v>
      </c>
    </row>
    <row r="41" ht="18.5" customHeight="1" outlineLevel="1" spans="1:21">
      <c r="A41" s="24" t="s">
        <v>645</v>
      </c>
      <c r="B41" s="25" t="s">
        <v>646</v>
      </c>
      <c r="C41" s="26">
        <f t="shared" si="6"/>
        <v>30</v>
      </c>
      <c r="D41" s="26"/>
      <c r="E41" s="26">
        <v>30</v>
      </c>
      <c r="F41" s="26"/>
      <c r="G41" s="26">
        <f t="shared" si="7"/>
        <v>65</v>
      </c>
      <c r="H41" s="26">
        <f t="shared" si="8"/>
        <v>19</v>
      </c>
      <c r="I41" s="26">
        <v>2</v>
      </c>
      <c r="J41" s="26">
        <v>4</v>
      </c>
      <c r="K41" s="26">
        <v>13</v>
      </c>
      <c r="L41" s="26"/>
      <c r="M41" s="26"/>
      <c r="N41" s="26"/>
      <c r="O41" s="26"/>
      <c r="P41" s="26">
        <v>1</v>
      </c>
      <c r="Q41" s="26">
        <v>45</v>
      </c>
      <c r="R41" s="26">
        <v>4</v>
      </c>
      <c r="S41" s="26"/>
      <c r="T41" s="37"/>
      <c r="U41" s="40"/>
    </row>
    <row r="42" ht="18.5" customHeight="1" outlineLevel="1" spans="1:21">
      <c r="A42" s="24" t="s">
        <v>647</v>
      </c>
      <c r="B42" s="25" t="s">
        <v>648</v>
      </c>
      <c r="C42" s="26">
        <f t="shared" si="6"/>
        <v>26</v>
      </c>
      <c r="D42" s="26"/>
      <c r="E42" s="26">
        <v>26</v>
      </c>
      <c r="F42" s="26"/>
      <c r="G42" s="26">
        <f t="shared" si="7"/>
        <v>41</v>
      </c>
      <c r="H42" s="26">
        <f t="shared" si="8"/>
        <v>19</v>
      </c>
      <c r="I42" s="26">
        <v>1</v>
      </c>
      <c r="J42" s="26">
        <v>5</v>
      </c>
      <c r="K42" s="26">
        <v>13</v>
      </c>
      <c r="L42" s="26"/>
      <c r="M42" s="26"/>
      <c r="N42" s="26"/>
      <c r="O42" s="26"/>
      <c r="P42" s="26"/>
      <c r="Q42" s="26">
        <v>22</v>
      </c>
      <c r="R42" s="26">
        <v>1</v>
      </c>
      <c r="S42" s="26"/>
      <c r="T42" s="37"/>
      <c r="U42" s="40"/>
    </row>
    <row r="43" ht="18.5" customHeight="1" outlineLevel="1" spans="1:21">
      <c r="A43" s="24" t="s">
        <v>649</v>
      </c>
      <c r="B43" s="25" t="s">
        <v>650</v>
      </c>
      <c r="C43" s="26">
        <f t="shared" si="6"/>
        <v>15</v>
      </c>
      <c r="D43" s="26"/>
      <c r="E43" s="26">
        <v>15</v>
      </c>
      <c r="F43" s="26"/>
      <c r="G43" s="26">
        <f t="shared" si="7"/>
        <v>15</v>
      </c>
      <c r="H43" s="26">
        <f t="shared" si="8"/>
        <v>15</v>
      </c>
      <c r="I43" s="26"/>
      <c r="J43" s="26"/>
      <c r="K43" s="26">
        <v>15</v>
      </c>
      <c r="L43" s="26"/>
      <c r="M43" s="26"/>
      <c r="N43" s="26"/>
      <c r="O43" s="26"/>
      <c r="P43" s="26"/>
      <c r="Q43" s="26"/>
      <c r="R43" s="26"/>
      <c r="S43" s="26"/>
      <c r="T43" s="37"/>
      <c r="U43" s="40"/>
    </row>
    <row r="44" ht="18.5" customHeight="1" outlineLevel="1" spans="1:21">
      <c r="A44" s="24" t="s">
        <v>651</v>
      </c>
      <c r="B44" s="25" t="s">
        <v>652</v>
      </c>
      <c r="C44" s="26">
        <f t="shared" si="6"/>
        <v>17</v>
      </c>
      <c r="D44" s="26"/>
      <c r="E44" s="26">
        <v>17</v>
      </c>
      <c r="F44" s="26"/>
      <c r="G44" s="26">
        <f t="shared" si="7"/>
        <v>24</v>
      </c>
      <c r="H44" s="26">
        <f t="shared" si="8"/>
        <v>14</v>
      </c>
      <c r="I44" s="26"/>
      <c r="J44" s="26">
        <v>13</v>
      </c>
      <c r="K44" s="26">
        <v>1</v>
      </c>
      <c r="L44" s="26"/>
      <c r="M44" s="26"/>
      <c r="N44" s="26"/>
      <c r="O44" s="26"/>
      <c r="P44" s="26"/>
      <c r="Q44" s="26">
        <v>10</v>
      </c>
      <c r="R44" s="26"/>
      <c r="S44" s="26"/>
      <c r="T44" s="37"/>
      <c r="U44" s="40"/>
    </row>
    <row r="45" ht="18.5" customHeight="1" outlineLevel="1" spans="1:21">
      <c r="A45" s="24" t="s">
        <v>653</v>
      </c>
      <c r="B45" s="25" t="s">
        <v>654</v>
      </c>
      <c r="C45" s="26">
        <f t="shared" si="6"/>
        <v>105</v>
      </c>
      <c r="D45" s="26">
        <v>16</v>
      </c>
      <c r="E45" s="26">
        <v>89</v>
      </c>
      <c r="F45" s="26"/>
      <c r="G45" s="26">
        <f t="shared" si="7"/>
        <v>128</v>
      </c>
      <c r="H45" s="26">
        <f t="shared" si="8"/>
        <v>75</v>
      </c>
      <c r="I45" s="26">
        <v>15</v>
      </c>
      <c r="J45" s="26"/>
      <c r="K45" s="26">
        <v>53</v>
      </c>
      <c r="L45" s="26"/>
      <c r="M45" s="26"/>
      <c r="N45" s="26"/>
      <c r="O45" s="26">
        <v>7</v>
      </c>
      <c r="P45" s="26"/>
      <c r="Q45" s="26">
        <v>53</v>
      </c>
      <c r="R45" s="26">
        <v>8</v>
      </c>
      <c r="S45" s="26"/>
      <c r="T45" s="37"/>
      <c r="U45" s="40"/>
    </row>
    <row r="46" ht="18.5" customHeight="1" outlineLevel="1" spans="1:21">
      <c r="A46" s="24" t="s">
        <v>655</v>
      </c>
      <c r="B46" s="25" t="s">
        <v>656</v>
      </c>
      <c r="C46" s="26">
        <f t="shared" si="6"/>
        <v>50</v>
      </c>
      <c r="D46" s="26"/>
      <c r="E46" s="26">
        <v>50</v>
      </c>
      <c r="F46" s="26"/>
      <c r="G46" s="26">
        <f t="shared" si="7"/>
        <v>69</v>
      </c>
      <c r="H46" s="26">
        <f t="shared" si="8"/>
        <v>53</v>
      </c>
      <c r="I46" s="26"/>
      <c r="J46" s="26"/>
      <c r="K46" s="26">
        <v>53</v>
      </c>
      <c r="L46" s="26"/>
      <c r="M46" s="26"/>
      <c r="N46" s="26"/>
      <c r="O46" s="26"/>
      <c r="P46" s="26"/>
      <c r="Q46" s="26">
        <v>16</v>
      </c>
      <c r="R46" s="26"/>
      <c r="S46" s="26"/>
      <c r="T46" s="37"/>
      <c r="U46" s="40" t="s">
        <v>2711</v>
      </c>
    </row>
    <row r="47" ht="18.5" customHeight="1" outlineLevel="1" spans="1:21">
      <c r="A47" s="24" t="s">
        <v>657</v>
      </c>
      <c r="B47" s="25" t="s">
        <v>658</v>
      </c>
      <c r="C47" s="26">
        <f t="shared" si="6"/>
        <v>6</v>
      </c>
      <c r="D47" s="26"/>
      <c r="E47" s="26">
        <v>6</v>
      </c>
      <c r="F47" s="26"/>
      <c r="G47" s="26">
        <f t="shared" si="7"/>
        <v>7</v>
      </c>
      <c r="H47" s="26">
        <f t="shared" si="8"/>
        <v>6</v>
      </c>
      <c r="I47" s="26"/>
      <c r="J47" s="26"/>
      <c r="K47" s="26">
        <v>6</v>
      </c>
      <c r="L47" s="26"/>
      <c r="M47" s="26"/>
      <c r="N47" s="26"/>
      <c r="O47" s="26"/>
      <c r="P47" s="26"/>
      <c r="Q47" s="26">
        <v>1</v>
      </c>
      <c r="R47" s="26"/>
      <c r="S47" s="26"/>
      <c r="T47" s="37"/>
      <c r="U47" s="40"/>
    </row>
    <row r="48" ht="18.5" customHeight="1" outlineLevel="1" spans="1:21">
      <c r="A48" s="24" t="s">
        <v>659</v>
      </c>
      <c r="B48" s="25" t="s">
        <v>660</v>
      </c>
      <c r="C48" s="26">
        <f t="shared" si="6"/>
        <v>16</v>
      </c>
      <c r="D48" s="26"/>
      <c r="E48" s="26">
        <v>16</v>
      </c>
      <c r="F48" s="26"/>
      <c r="G48" s="26">
        <f t="shared" si="7"/>
        <v>14</v>
      </c>
      <c r="H48" s="26">
        <f t="shared" si="8"/>
        <v>14</v>
      </c>
      <c r="I48" s="26"/>
      <c r="J48" s="26"/>
      <c r="K48" s="26">
        <v>14</v>
      </c>
      <c r="L48" s="26"/>
      <c r="M48" s="26"/>
      <c r="N48" s="26"/>
      <c r="O48" s="26"/>
      <c r="P48" s="26"/>
      <c r="Q48" s="26"/>
      <c r="R48" s="26"/>
      <c r="S48" s="26"/>
      <c r="T48" s="37"/>
      <c r="U48" s="40"/>
    </row>
    <row r="49" ht="18.5" customHeight="1" outlineLevel="1" spans="1:21">
      <c r="A49" s="24" t="s">
        <v>661</v>
      </c>
      <c r="B49" s="25" t="s">
        <v>662</v>
      </c>
      <c r="C49" s="26">
        <f t="shared" si="6"/>
        <v>13</v>
      </c>
      <c r="D49" s="26">
        <v>3</v>
      </c>
      <c r="E49" s="26">
        <v>10</v>
      </c>
      <c r="F49" s="26"/>
      <c r="G49" s="26">
        <f t="shared" si="7"/>
        <v>14</v>
      </c>
      <c r="H49" s="26">
        <f t="shared" si="8"/>
        <v>14</v>
      </c>
      <c r="I49" s="26">
        <v>4</v>
      </c>
      <c r="J49" s="26"/>
      <c r="K49" s="26">
        <v>10</v>
      </c>
      <c r="L49" s="26"/>
      <c r="M49" s="26"/>
      <c r="N49" s="26"/>
      <c r="O49" s="26"/>
      <c r="P49" s="26"/>
      <c r="Q49" s="26"/>
      <c r="R49" s="26"/>
      <c r="S49" s="26"/>
      <c r="T49" s="37"/>
      <c r="U49" s="40"/>
    </row>
    <row r="50" s="6" customFormat="1" ht="18.5" customHeight="1" spans="1:21">
      <c r="A50" s="21"/>
      <c r="B50" s="27" t="s">
        <v>663</v>
      </c>
      <c r="C50" s="26">
        <f t="shared" ref="C50:S50" si="9">SUM(C51:C86)</f>
        <v>3872</v>
      </c>
      <c r="D50" s="26">
        <f t="shared" si="9"/>
        <v>70</v>
      </c>
      <c r="E50" s="26">
        <f t="shared" si="9"/>
        <v>3802</v>
      </c>
      <c r="F50" s="26">
        <f t="shared" si="9"/>
        <v>0</v>
      </c>
      <c r="G50" s="26">
        <f t="shared" si="9"/>
        <v>4509</v>
      </c>
      <c r="H50" s="26">
        <f t="shared" si="9"/>
        <v>3383</v>
      </c>
      <c r="I50" s="26">
        <f t="shared" si="9"/>
        <v>72</v>
      </c>
      <c r="J50" s="26">
        <f t="shared" si="9"/>
        <v>51</v>
      </c>
      <c r="K50" s="26">
        <f t="shared" si="9"/>
        <v>393</v>
      </c>
      <c r="L50" s="26">
        <f t="shared" si="9"/>
        <v>2856</v>
      </c>
      <c r="M50" s="26">
        <f t="shared" si="9"/>
        <v>3</v>
      </c>
      <c r="N50" s="26">
        <f t="shared" si="9"/>
        <v>0</v>
      </c>
      <c r="O50" s="26">
        <f t="shared" si="9"/>
        <v>8</v>
      </c>
      <c r="P50" s="26">
        <f t="shared" si="9"/>
        <v>7</v>
      </c>
      <c r="Q50" s="26">
        <f t="shared" si="9"/>
        <v>1119</v>
      </c>
      <c r="R50" s="26">
        <f t="shared" si="9"/>
        <v>18</v>
      </c>
      <c r="S50" s="26">
        <f t="shared" si="9"/>
        <v>1</v>
      </c>
      <c r="T50" s="35"/>
      <c r="U50" s="41" t="s">
        <v>2708</v>
      </c>
    </row>
    <row r="51" ht="18.5" customHeight="1" outlineLevel="1" spans="1:21">
      <c r="A51" s="24" t="s">
        <v>1050</v>
      </c>
      <c r="B51" s="25" t="s">
        <v>664</v>
      </c>
      <c r="C51" s="26">
        <f t="shared" ref="C51:C86" si="10">SUM(D51:E51)</f>
        <v>43</v>
      </c>
      <c r="D51" s="29">
        <v>13</v>
      </c>
      <c r="E51" s="29">
        <v>30</v>
      </c>
      <c r="F51" s="29"/>
      <c r="G51" s="26">
        <f t="shared" ref="G51:G86" si="11">SUM(P51,Q51,H51)</f>
        <v>80</v>
      </c>
      <c r="H51" s="26">
        <f t="shared" ref="H51:H86" si="12">SUM(I51:O51)</f>
        <v>43</v>
      </c>
      <c r="I51" s="29">
        <v>11</v>
      </c>
      <c r="J51" s="29"/>
      <c r="K51" s="29">
        <v>29</v>
      </c>
      <c r="L51" s="29">
        <v>1</v>
      </c>
      <c r="M51" s="29"/>
      <c r="N51" s="29"/>
      <c r="O51" s="29">
        <v>2</v>
      </c>
      <c r="P51" s="29">
        <v>1</v>
      </c>
      <c r="Q51" s="29">
        <v>36</v>
      </c>
      <c r="R51" s="29">
        <v>2</v>
      </c>
      <c r="S51" s="29"/>
      <c r="T51" s="42"/>
      <c r="U51" s="40"/>
    </row>
    <row r="52" s="7" customFormat="1" ht="18.5" customHeight="1" outlineLevel="1" spans="1:21">
      <c r="A52" s="24" t="s">
        <v>1051</v>
      </c>
      <c r="B52" s="25" t="s">
        <v>665</v>
      </c>
      <c r="C52" s="26">
        <f t="shared" si="10"/>
        <v>10</v>
      </c>
      <c r="D52" s="29"/>
      <c r="E52" s="29">
        <v>10</v>
      </c>
      <c r="F52" s="29"/>
      <c r="G52" s="26">
        <f t="shared" si="11"/>
        <v>15</v>
      </c>
      <c r="H52" s="26">
        <f t="shared" si="12"/>
        <v>9</v>
      </c>
      <c r="I52" s="29"/>
      <c r="J52" s="29"/>
      <c r="K52" s="29">
        <v>9</v>
      </c>
      <c r="L52" s="29"/>
      <c r="M52" s="29"/>
      <c r="N52" s="29"/>
      <c r="O52" s="29"/>
      <c r="P52" s="29"/>
      <c r="Q52" s="29">
        <v>6</v>
      </c>
      <c r="R52" s="29"/>
      <c r="S52" s="29"/>
      <c r="T52" s="42"/>
      <c r="U52" s="40"/>
    </row>
    <row r="53" ht="18.5" customHeight="1" outlineLevel="1" spans="1:21">
      <c r="A53" s="24" t="s">
        <v>1052</v>
      </c>
      <c r="B53" s="25" t="s">
        <v>666</v>
      </c>
      <c r="C53" s="26">
        <f t="shared" si="10"/>
        <v>18</v>
      </c>
      <c r="D53" s="29"/>
      <c r="E53" s="29">
        <v>18</v>
      </c>
      <c r="F53" s="29"/>
      <c r="G53" s="26">
        <f t="shared" si="11"/>
        <v>22</v>
      </c>
      <c r="H53" s="26">
        <f t="shared" si="12"/>
        <v>17</v>
      </c>
      <c r="I53" s="29"/>
      <c r="J53" s="29"/>
      <c r="K53" s="29">
        <v>14</v>
      </c>
      <c r="L53" s="29"/>
      <c r="M53" s="29">
        <v>3</v>
      </c>
      <c r="N53" s="29"/>
      <c r="O53" s="29"/>
      <c r="P53" s="29"/>
      <c r="Q53" s="29">
        <v>5</v>
      </c>
      <c r="R53" s="29">
        <v>4</v>
      </c>
      <c r="S53" s="29"/>
      <c r="T53" s="42"/>
      <c r="U53" s="40" t="s">
        <v>2711</v>
      </c>
    </row>
    <row r="54" ht="18.5" customHeight="1" outlineLevel="1" spans="1:21">
      <c r="A54" s="24" t="s">
        <v>1053</v>
      </c>
      <c r="B54" s="25" t="s">
        <v>667</v>
      </c>
      <c r="C54" s="26">
        <f t="shared" si="10"/>
        <v>27</v>
      </c>
      <c r="D54" s="29"/>
      <c r="E54" s="29">
        <v>27</v>
      </c>
      <c r="F54" s="29"/>
      <c r="G54" s="26">
        <f t="shared" si="11"/>
        <v>44</v>
      </c>
      <c r="H54" s="26">
        <f t="shared" si="12"/>
        <v>26</v>
      </c>
      <c r="I54" s="29"/>
      <c r="J54" s="29"/>
      <c r="K54" s="29">
        <v>26</v>
      </c>
      <c r="L54" s="29"/>
      <c r="M54" s="29"/>
      <c r="N54" s="29"/>
      <c r="O54" s="29"/>
      <c r="P54" s="29"/>
      <c r="Q54" s="29">
        <v>18</v>
      </c>
      <c r="R54" s="29">
        <v>2</v>
      </c>
      <c r="S54" s="29"/>
      <c r="T54" s="42"/>
      <c r="U54" s="40" t="s">
        <v>2711</v>
      </c>
    </row>
    <row r="55" ht="18.5" customHeight="1" outlineLevel="1" spans="1:21">
      <c r="A55" s="24" t="s">
        <v>1054</v>
      </c>
      <c r="B55" s="25" t="s">
        <v>668</v>
      </c>
      <c r="C55" s="26">
        <f t="shared" si="10"/>
        <v>5</v>
      </c>
      <c r="D55" s="29"/>
      <c r="E55" s="29">
        <v>5</v>
      </c>
      <c r="F55" s="29"/>
      <c r="G55" s="26">
        <f t="shared" si="11"/>
        <v>8</v>
      </c>
      <c r="H55" s="26">
        <f t="shared" si="12"/>
        <v>5</v>
      </c>
      <c r="I55" s="29"/>
      <c r="J55" s="29"/>
      <c r="K55" s="29">
        <v>5</v>
      </c>
      <c r="L55" s="29"/>
      <c r="M55" s="29"/>
      <c r="N55" s="29"/>
      <c r="O55" s="29"/>
      <c r="P55" s="29"/>
      <c r="Q55" s="29">
        <v>3</v>
      </c>
      <c r="R55" s="29"/>
      <c r="S55" s="29"/>
      <c r="T55" s="42"/>
      <c r="U55" s="40" t="s">
        <v>2711</v>
      </c>
    </row>
    <row r="56" ht="18.5" customHeight="1" outlineLevel="1" spans="1:21">
      <c r="A56" s="24" t="s">
        <v>1055</v>
      </c>
      <c r="B56" s="25" t="s">
        <v>669</v>
      </c>
      <c r="C56" s="26">
        <f t="shared" si="10"/>
        <v>14</v>
      </c>
      <c r="D56" s="29"/>
      <c r="E56" s="29">
        <v>14</v>
      </c>
      <c r="F56" s="29"/>
      <c r="G56" s="26">
        <f t="shared" si="11"/>
        <v>22</v>
      </c>
      <c r="H56" s="26">
        <f t="shared" si="12"/>
        <v>14</v>
      </c>
      <c r="I56" s="29">
        <v>1</v>
      </c>
      <c r="J56" s="29">
        <v>6</v>
      </c>
      <c r="K56" s="29">
        <v>5</v>
      </c>
      <c r="L56" s="29"/>
      <c r="M56" s="29"/>
      <c r="N56" s="29"/>
      <c r="O56" s="29">
        <v>2</v>
      </c>
      <c r="P56" s="29"/>
      <c r="Q56" s="29">
        <v>8</v>
      </c>
      <c r="R56" s="29"/>
      <c r="S56" s="29"/>
      <c r="T56" s="42"/>
      <c r="U56" s="40"/>
    </row>
    <row r="57" ht="18.5" customHeight="1" outlineLevel="1" spans="1:21">
      <c r="A57" s="24" t="s">
        <v>1056</v>
      </c>
      <c r="B57" s="25" t="s">
        <v>670</v>
      </c>
      <c r="C57" s="26">
        <f t="shared" si="10"/>
        <v>61</v>
      </c>
      <c r="D57" s="29">
        <v>8</v>
      </c>
      <c r="E57" s="29">
        <v>53</v>
      </c>
      <c r="F57" s="29"/>
      <c r="G57" s="26">
        <f t="shared" si="11"/>
        <v>72</v>
      </c>
      <c r="H57" s="26">
        <f t="shared" si="12"/>
        <v>60</v>
      </c>
      <c r="I57" s="29">
        <v>8</v>
      </c>
      <c r="J57" s="29"/>
      <c r="K57" s="29">
        <v>52</v>
      </c>
      <c r="L57" s="29"/>
      <c r="M57" s="29"/>
      <c r="N57" s="29"/>
      <c r="O57" s="29"/>
      <c r="P57" s="29"/>
      <c r="Q57" s="29">
        <v>12</v>
      </c>
      <c r="R57" s="29"/>
      <c r="S57" s="29"/>
      <c r="T57" s="42"/>
      <c r="U57" s="40"/>
    </row>
    <row r="58" ht="18.5" customHeight="1" outlineLevel="1" spans="1:21">
      <c r="A58" s="24" t="s">
        <v>1057</v>
      </c>
      <c r="B58" s="25" t="s">
        <v>671</v>
      </c>
      <c r="C58" s="26">
        <f t="shared" si="10"/>
        <v>52</v>
      </c>
      <c r="D58" s="29">
        <v>21</v>
      </c>
      <c r="E58" s="29">
        <v>31</v>
      </c>
      <c r="F58" s="29"/>
      <c r="G58" s="26">
        <f t="shared" si="11"/>
        <v>93</v>
      </c>
      <c r="H58" s="26">
        <f t="shared" si="12"/>
        <v>58</v>
      </c>
      <c r="I58" s="29">
        <v>23</v>
      </c>
      <c r="J58" s="29">
        <v>1</v>
      </c>
      <c r="K58" s="29">
        <v>31</v>
      </c>
      <c r="L58" s="29"/>
      <c r="M58" s="29"/>
      <c r="N58" s="29"/>
      <c r="O58" s="29">
        <v>3</v>
      </c>
      <c r="P58" s="29"/>
      <c r="Q58" s="29">
        <v>35</v>
      </c>
      <c r="R58" s="29"/>
      <c r="S58" s="29"/>
      <c r="T58" s="42"/>
      <c r="U58" s="40"/>
    </row>
    <row r="59" ht="18.5" customHeight="1" outlineLevel="1" spans="1:21">
      <c r="A59" s="24" t="s">
        <v>1058</v>
      </c>
      <c r="B59" s="25" t="s">
        <v>672</v>
      </c>
      <c r="C59" s="26">
        <f t="shared" si="10"/>
        <v>35</v>
      </c>
      <c r="D59" s="29"/>
      <c r="E59" s="29">
        <v>35</v>
      </c>
      <c r="F59" s="29"/>
      <c r="G59" s="26">
        <f t="shared" si="11"/>
        <v>49</v>
      </c>
      <c r="H59" s="26">
        <f t="shared" si="12"/>
        <v>34</v>
      </c>
      <c r="I59" s="29"/>
      <c r="J59" s="29"/>
      <c r="K59" s="29">
        <v>34</v>
      </c>
      <c r="L59" s="29"/>
      <c r="M59" s="29"/>
      <c r="N59" s="29"/>
      <c r="O59" s="29"/>
      <c r="P59" s="29"/>
      <c r="Q59" s="29">
        <v>15</v>
      </c>
      <c r="R59" s="29">
        <v>1</v>
      </c>
      <c r="S59" s="29"/>
      <c r="T59" s="42"/>
      <c r="U59" s="40"/>
    </row>
    <row r="60" ht="18.5" customHeight="1" outlineLevel="1" spans="1:21">
      <c r="A60" s="24" t="s">
        <v>1059</v>
      </c>
      <c r="B60" s="25" t="s">
        <v>673</v>
      </c>
      <c r="C60" s="26">
        <f t="shared" si="10"/>
        <v>43</v>
      </c>
      <c r="D60" s="29"/>
      <c r="E60" s="29">
        <v>43</v>
      </c>
      <c r="F60" s="29"/>
      <c r="G60" s="26">
        <f t="shared" si="11"/>
        <v>62</v>
      </c>
      <c r="H60" s="26">
        <f t="shared" si="12"/>
        <v>37</v>
      </c>
      <c r="I60" s="29"/>
      <c r="J60" s="29">
        <v>32</v>
      </c>
      <c r="K60" s="29">
        <v>5</v>
      </c>
      <c r="L60" s="29"/>
      <c r="M60" s="29"/>
      <c r="N60" s="29"/>
      <c r="O60" s="29"/>
      <c r="P60" s="29"/>
      <c r="Q60" s="29">
        <v>25</v>
      </c>
      <c r="R60" s="29">
        <v>1</v>
      </c>
      <c r="S60" s="29"/>
      <c r="T60" s="42"/>
      <c r="U60" s="40"/>
    </row>
    <row r="61" ht="18.5" customHeight="1" outlineLevel="1" spans="1:21">
      <c r="A61" s="24" t="s">
        <v>1060</v>
      </c>
      <c r="B61" s="25" t="s">
        <v>674</v>
      </c>
      <c r="C61" s="26">
        <f t="shared" si="10"/>
        <v>16</v>
      </c>
      <c r="D61" s="29"/>
      <c r="E61" s="29">
        <v>16</v>
      </c>
      <c r="F61" s="29"/>
      <c r="G61" s="26">
        <f t="shared" si="11"/>
        <v>17</v>
      </c>
      <c r="H61" s="26">
        <f t="shared" si="12"/>
        <v>16</v>
      </c>
      <c r="I61" s="29"/>
      <c r="J61" s="29"/>
      <c r="K61" s="29">
        <v>16</v>
      </c>
      <c r="L61" s="29"/>
      <c r="M61" s="29"/>
      <c r="N61" s="29"/>
      <c r="O61" s="29"/>
      <c r="P61" s="29"/>
      <c r="Q61" s="29">
        <v>1</v>
      </c>
      <c r="R61" s="29"/>
      <c r="S61" s="29"/>
      <c r="T61" s="42"/>
      <c r="U61" s="40"/>
    </row>
    <row r="62" ht="18.5" customHeight="1" outlineLevel="1" spans="1:21">
      <c r="A62" s="24" t="s">
        <v>1061</v>
      </c>
      <c r="B62" s="25" t="s">
        <v>675</v>
      </c>
      <c r="C62" s="26">
        <f t="shared" si="10"/>
        <v>58</v>
      </c>
      <c r="D62" s="29">
        <v>21</v>
      </c>
      <c r="E62" s="29">
        <v>37</v>
      </c>
      <c r="F62" s="29"/>
      <c r="G62" s="26">
        <f t="shared" si="11"/>
        <v>121</v>
      </c>
      <c r="H62" s="26">
        <f t="shared" si="12"/>
        <v>58</v>
      </c>
      <c r="I62" s="29">
        <v>18</v>
      </c>
      <c r="J62" s="29">
        <v>2</v>
      </c>
      <c r="K62" s="29">
        <v>37</v>
      </c>
      <c r="L62" s="29"/>
      <c r="M62" s="29"/>
      <c r="N62" s="29"/>
      <c r="O62" s="29">
        <v>1</v>
      </c>
      <c r="P62" s="29"/>
      <c r="Q62" s="29">
        <v>63</v>
      </c>
      <c r="R62" s="29">
        <v>1</v>
      </c>
      <c r="S62" s="29"/>
      <c r="T62" s="42"/>
      <c r="U62" s="40" t="s">
        <v>2712</v>
      </c>
    </row>
    <row r="63" ht="18.5" customHeight="1" outlineLevel="1" spans="1:21">
      <c r="A63" s="24" t="s">
        <v>1062</v>
      </c>
      <c r="B63" s="25" t="s">
        <v>676</v>
      </c>
      <c r="C63" s="26">
        <f t="shared" si="10"/>
        <v>48</v>
      </c>
      <c r="D63" s="29"/>
      <c r="E63" s="29">
        <v>48</v>
      </c>
      <c r="F63" s="29"/>
      <c r="G63" s="26">
        <f t="shared" si="11"/>
        <v>54</v>
      </c>
      <c r="H63" s="26">
        <f t="shared" si="12"/>
        <v>37</v>
      </c>
      <c r="I63" s="29"/>
      <c r="J63" s="29">
        <v>10</v>
      </c>
      <c r="K63" s="29">
        <v>27</v>
      </c>
      <c r="L63" s="29"/>
      <c r="M63" s="29"/>
      <c r="N63" s="29"/>
      <c r="O63" s="29"/>
      <c r="P63" s="29">
        <v>1</v>
      </c>
      <c r="Q63" s="29">
        <v>16</v>
      </c>
      <c r="R63" s="29">
        <v>1</v>
      </c>
      <c r="S63" s="29"/>
      <c r="T63" s="42"/>
      <c r="U63" s="40" t="s">
        <v>2712</v>
      </c>
    </row>
    <row r="64" ht="18.5" customHeight="1" outlineLevel="1" spans="1:21">
      <c r="A64" s="24" t="s">
        <v>1063</v>
      </c>
      <c r="B64" s="25" t="s">
        <v>677</v>
      </c>
      <c r="C64" s="26">
        <f t="shared" si="10"/>
        <v>625</v>
      </c>
      <c r="D64" s="29"/>
      <c r="E64" s="29">
        <v>625</v>
      </c>
      <c r="F64" s="29"/>
      <c r="G64" s="26">
        <f t="shared" si="11"/>
        <v>712</v>
      </c>
      <c r="H64" s="26">
        <f t="shared" si="12"/>
        <v>540</v>
      </c>
      <c r="I64" s="29"/>
      <c r="J64" s="29"/>
      <c r="K64" s="29"/>
      <c r="L64" s="29">
        <v>540</v>
      </c>
      <c r="M64" s="29"/>
      <c r="N64" s="29"/>
      <c r="O64" s="29"/>
      <c r="P64" s="29">
        <v>2</v>
      </c>
      <c r="Q64" s="29">
        <v>170</v>
      </c>
      <c r="R64" s="29"/>
      <c r="S64" s="29"/>
      <c r="T64" s="42"/>
      <c r="U64" s="40" t="s">
        <v>2713</v>
      </c>
    </row>
    <row r="65" ht="18.5" customHeight="1" outlineLevel="1" spans="1:21">
      <c r="A65" s="24" t="s">
        <v>1065</v>
      </c>
      <c r="B65" s="25" t="s">
        <v>2191</v>
      </c>
      <c r="C65" s="26">
        <f t="shared" si="10"/>
        <v>230</v>
      </c>
      <c r="D65" s="29"/>
      <c r="E65" s="29">
        <v>230</v>
      </c>
      <c r="F65" s="29"/>
      <c r="G65" s="26">
        <f t="shared" si="11"/>
        <v>267</v>
      </c>
      <c r="H65" s="26">
        <f t="shared" si="12"/>
        <v>211</v>
      </c>
      <c r="I65" s="29"/>
      <c r="J65" s="29"/>
      <c r="K65" s="29"/>
      <c r="L65" s="29">
        <v>211</v>
      </c>
      <c r="M65" s="29"/>
      <c r="N65" s="29"/>
      <c r="O65" s="29"/>
      <c r="P65" s="29"/>
      <c r="Q65" s="29">
        <v>56</v>
      </c>
      <c r="R65" s="29">
        <v>3</v>
      </c>
      <c r="S65" s="29"/>
      <c r="T65" s="42"/>
      <c r="U65" s="40" t="s">
        <v>2714</v>
      </c>
    </row>
    <row r="66" s="7" customFormat="1" ht="18.5" customHeight="1" outlineLevel="1" spans="1:21">
      <c r="A66" s="24" t="s">
        <v>1066</v>
      </c>
      <c r="B66" s="25" t="s">
        <v>679</v>
      </c>
      <c r="C66" s="26">
        <f t="shared" si="10"/>
        <v>8</v>
      </c>
      <c r="D66" s="29"/>
      <c r="E66" s="29">
        <v>8</v>
      </c>
      <c r="F66" s="29"/>
      <c r="G66" s="26">
        <f t="shared" si="11"/>
        <v>7</v>
      </c>
      <c r="H66" s="26">
        <f t="shared" si="12"/>
        <v>7</v>
      </c>
      <c r="I66" s="29"/>
      <c r="J66" s="29"/>
      <c r="K66" s="29">
        <v>7</v>
      </c>
      <c r="L66" s="29"/>
      <c r="M66" s="29"/>
      <c r="N66" s="29"/>
      <c r="O66" s="29"/>
      <c r="P66" s="29"/>
      <c r="Q66" s="29"/>
      <c r="R66" s="29"/>
      <c r="S66" s="29"/>
      <c r="T66" s="42"/>
      <c r="U66" s="40" t="s">
        <v>2712</v>
      </c>
    </row>
    <row r="67" ht="18.5" customHeight="1" outlineLevel="1" spans="1:21">
      <c r="A67" s="24" t="s">
        <v>1067</v>
      </c>
      <c r="B67" s="25" t="s">
        <v>680</v>
      </c>
      <c r="C67" s="26">
        <f t="shared" si="10"/>
        <v>86</v>
      </c>
      <c r="D67" s="29"/>
      <c r="E67" s="29">
        <v>86</v>
      </c>
      <c r="F67" s="29"/>
      <c r="G67" s="26">
        <f t="shared" si="11"/>
        <v>122</v>
      </c>
      <c r="H67" s="26">
        <f t="shared" si="12"/>
        <v>80</v>
      </c>
      <c r="I67" s="29"/>
      <c r="J67" s="29"/>
      <c r="K67" s="29">
        <v>80</v>
      </c>
      <c r="L67" s="29"/>
      <c r="M67" s="29"/>
      <c r="N67" s="29"/>
      <c r="O67" s="29"/>
      <c r="P67" s="29"/>
      <c r="Q67" s="29">
        <v>42</v>
      </c>
      <c r="R67" s="29">
        <v>3</v>
      </c>
      <c r="S67" s="29"/>
      <c r="T67" s="42"/>
      <c r="U67" s="40" t="s">
        <v>2714</v>
      </c>
    </row>
    <row r="68" ht="18.5" customHeight="1" outlineLevel="1" spans="1:21">
      <c r="A68" s="24" t="s">
        <v>2715</v>
      </c>
      <c r="B68" s="25" t="s">
        <v>2716</v>
      </c>
      <c r="C68" s="26">
        <f t="shared" si="10"/>
        <v>27</v>
      </c>
      <c r="D68" s="29"/>
      <c r="E68" s="29">
        <v>27</v>
      </c>
      <c r="F68" s="29"/>
      <c r="G68" s="26">
        <f t="shared" si="11"/>
        <v>0</v>
      </c>
      <c r="H68" s="26">
        <f t="shared" si="12"/>
        <v>0</v>
      </c>
      <c r="I68" s="29"/>
      <c r="J68" s="29"/>
      <c r="K68" s="29"/>
      <c r="L68" s="29"/>
      <c r="M68" s="29"/>
      <c r="N68" s="29"/>
      <c r="O68" s="29"/>
      <c r="P68" s="29"/>
      <c r="Q68" s="29"/>
      <c r="R68" s="29"/>
      <c r="S68" s="29"/>
      <c r="T68" s="42"/>
      <c r="U68" s="40" t="s">
        <v>2712</v>
      </c>
    </row>
    <row r="69" ht="18.5" customHeight="1" outlineLevel="1" spans="1:21">
      <c r="A69" s="24" t="s">
        <v>1068</v>
      </c>
      <c r="B69" s="25" t="s">
        <v>681</v>
      </c>
      <c r="C69" s="26">
        <f t="shared" si="10"/>
        <v>1350</v>
      </c>
      <c r="D69" s="29"/>
      <c r="E69" s="29">
        <v>1350</v>
      </c>
      <c r="F69" s="29"/>
      <c r="G69" s="26">
        <f t="shared" si="11"/>
        <v>1066</v>
      </c>
      <c r="H69" s="26">
        <f t="shared" si="12"/>
        <v>1064</v>
      </c>
      <c r="I69" s="29"/>
      <c r="J69" s="29"/>
      <c r="K69" s="29"/>
      <c r="L69" s="29">
        <v>1064</v>
      </c>
      <c r="M69" s="29"/>
      <c r="N69" s="29"/>
      <c r="O69" s="29"/>
      <c r="P69" s="29">
        <v>2</v>
      </c>
      <c r="Q69" s="29"/>
      <c r="R69" s="29"/>
      <c r="S69" s="29"/>
      <c r="T69" s="42"/>
      <c r="U69" s="40" t="s">
        <v>2713</v>
      </c>
    </row>
    <row r="70" ht="18.5" customHeight="1" outlineLevel="1" spans="1:21">
      <c r="A70" s="24" t="s">
        <v>1069</v>
      </c>
      <c r="B70" s="25" t="s">
        <v>682</v>
      </c>
      <c r="C70" s="26">
        <f t="shared" si="10"/>
        <v>70</v>
      </c>
      <c r="D70" s="29"/>
      <c r="E70" s="29">
        <v>70</v>
      </c>
      <c r="F70" s="29"/>
      <c r="G70" s="26">
        <f t="shared" si="11"/>
        <v>148</v>
      </c>
      <c r="H70" s="26">
        <f t="shared" si="12"/>
        <v>76</v>
      </c>
      <c r="I70" s="29"/>
      <c r="J70" s="29"/>
      <c r="K70" s="29"/>
      <c r="L70" s="29">
        <v>76</v>
      </c>
      <c r="M70" s="29"/>
      <c r="N70" s="29"/>
      <c r="O70" s="29"/>
      <c r="P70" s="29"/>
      <c r="Q70" s="29">
        <v>72</v>
      </c>
      <c r="R70" s="29"/>
      <c r="S70" s="29"/>
      <c r="T70" s="42"/>
      <c r="U70" s="40" t="s">
        <v>2717</v>
      </c>
    </row>
    <row r="71" ht="18.5" customHeight="1" outlineLevel="1" spans="1:21">
      <c r="A71" s="24" t="s">
        <v>1070</v>
      </c>
      <c r="B71" s="25" t="s">
        <v>683</v>
      </c>
      <c r="C71" s="26">
        <f t="shared" si="10"/>
        <v>80</v>
      </c>
      <c r="D71" s="29"/>
      <c r="E71" s="29">
        <v>80</v>
      </c>
      <c r="F71" s="29"/>
      <c r="G71" s="26">
        <f t="shared" si="11"/>
        <v>95</v>
      </c>
      <c r="H71" s="26">
        <f t="shared" si="12"/>
        <v>60</v>
      </c>
      <c r="I71" s="29"/>
      <c r="J71" s="29"/>
      <c r="K71" s="29"/>
      <c r="L71" s="29">
        <v>60</v>
      </c>
      <c r="M71" s="29"/>
      <c r="N71" s="29"/>
      <c r="O71" s="29"/>
      <c r="P71" s="29"/>
      <c r="Q71" s="29">
        <v>35</v>
      </c>
      <c r="R71" s="29"/>
      <c r="S71" s="29"/>
      <c r="T71" s="42"/>
      <c r="U71" s="40" t="s">
        <v>2717</v>
      </c>
    </row>
    <row r="72" ht="18.5" customHeight="1" outlineLevel="1" spans="1:21">
      <c r="A72" s="24" t="s">
        <v>1071</v>
      </c>
      <c r="B72" s="25" t="s">
        <v>2675</v>
      </c>
      <c r="C72" s="26">
        <f t="shared" si="10"/>
        <v>100</v>
      </c>
      <c r="D72" s="29"/>
      <c r="E72" s="29">
        <v>100</v>
      </c>
      <c r="F72" s="29"/>
      <c r="G72" s="26">
        <f t="shared" si="11"/>
        <v>153</v>
      </c>
      <c r="H72" s="26">
        <f t="shared" si="12"/>
        <v>97</v>
      </c>
      <c r="I72" s="29"/>
      <c r="J72" s="29"/>
      <c r="K72" s="29"/>
      <c r="L72" s="29">
        <v>97</v>
      </c>
      <c r="M72" s="29"/>
      <c r="N72" s="29"/>
      <c r="O72" s="29"/>
      <c r="P72" s="29"/>
      <c r="Q72" s="29">
        <v>56</v>
      </c>
      <c r="R72" s="29"/>
      <c r="S72" s="29"/>
      <c r="T72" s="43"/>
      <c r="U72" s="40" t="s">
        <v>2717</v>
      </c>
    </row>
    <row r="73" ht="18.5" customHeight="1" outlineLevel="1" spans="1:21">
      <c r="A73" s="24" t="s">
        <v>1072</v>
      </c>
      <c r="B73" s="25" t="s">
        <v>685</v>
      </c>
      <c r="C73" s="26">
        <f t="shared" si="10"/>
        <v>90</v>
      </c>
      <c r="D73" s="29"/>
      <c r="E73" s="29">
        <v>90</v>
      </c>
      <c r="F73" s="29"/>
      <c r="G73" s="26">
        <f t="shared" si="11"/>
        <v>146</v>
      </c>
      <c r="H73" s="26">
        <f t="shared" si="12"/>
        <v>87</v>
      </c>
      <c r="I73" s="29"/>
      <c r="J73" s="29"/>
      <c r="K73" s="29"/>
      <c r="L73" s="29">
        <v>87</v>
      </c>
      <c r="M73" s="29"/>
      <c r="N73" s="29"/>
      <c r="O73" s="29"/>
      <c r="P73" s="29"/>
      <c r="Q73" s="29">
        <v>59</v>
      </c>
      <c r="R73" s="29"/>
      <c r="S73" s="29"/>
      <c r="T73" s="43"/>
      <c r="U73" s="40" t="s">
        <v>2717</v>
      </c>
    </row>
    <row r="74" ht="18.5" customHeight="1" outlineLevel="1" spans="1:21">
      <c r="A74" s="24" t="s">
        <v>1073</v>
      </c>
      <c r="B74" s="25" t="s">
        <v>2718</v>
      </c>
      <c r="C74" s="26">
        <f t="shared" si="10"/>
        <v>60</v>
      </c>
      <c r="D74" s="29"/>
      <c r="E74" s="29">
        <v>60</v>
      </c>
      <c r="F74" s="29"/>
      <c r="G74" s="26">
        <f t="shared" si="11"/>
        <v>88</v>
      </c>
      <c r="H74" s="26">
        <f t="shared" si="12"/>
        <v>57</v>
      </c>
      <c r="I74" s="29"/>
      <c r="J74" s="29"/>
      <c r="K74" s="29"/>
      <c r="L74" s="29">
        <v>57</v>
      </c>
      <c r="M74" s="29"/>
      <c r="N74" s="29"/>
      <c r="O74" s="29"/>
      <c r="P74" s="29"/>
      <c r="Q74" s="29">
        <v>31</v>
      </c>
      <c r="R74" s="29"/>
      <c r="S74" s="29"/>
      <c r="T74" s="43"/>
      <c r="U74" s="40" t="s">
        <v>2717</v>
      </c>
    </row>
    <row r="75" ht="18.5" customHeight="1" outlineLevel="1" spans="1:21">
      <c r="A75" s="24" t="s">
        <v>1074</v>
      </c>
      <c r="B75" s="25" t="s">
        <v>2719</v>
      </c>
      <c r="C75" s="26">
        <f t="shared" si="10"/>
        <v>65</v>
      </c>
      <c r="D75" s="29"/>
      <c r="E75" s="29">
        <v>65</v>
      </c>
      <c r="F75" s="29"/>
      <c r="G75" s="26">
        <f t="shared" si="11"/>
        <v>101</v>
      </c>
      <c r="H75" s="26">
        <f t="shared" si="12"/>
        <v>64</v>
      </c>
      <c r="I75" s="29"/>
      <c r="J75" s="29"/>
      <c r="K75" s="29"/>
      <c r="L75" s="29">
        <v>64</v>
      </c>
      <c r="M75" s="29"/>
      <c r="N75" s="29"/>
      <c r="O75" s="29"/>
      <c r="P75" s="29"/>
      <c r="Q75" s="29">
        <v>37</v>
      </c>
      <c r="R75" s="29"/>
      <c r="S75" s="29"/>
      <c r="T75" s="43"/>
      <c r="U75" s="40" t="s">
        <v>2717</v>
      </c>
    </row>
    <row r="76" ht="18.5" customHeight="1" outlineLevel="1" spans="1:21">
      <c r="A76" s="24" t="s">
        <v>1075</v>
      </c>
      <c r="B76" s="25" t="s">
        <v>2720</v>
      </c>
      <c r="C76" s="26">
        <f t="shared" si="10"/>
        <v>60</v>
      </c>
      <c r="D76" s="29"/>
      <c r="E76" s="29">
        <v>60</v>
      </c>
      <c r="F76" s="29"/>
      <c r="G76" s="26">
        <f t="shared" si="11"/>
        <v>86</v>
      </c>
      <c r="H76" s="26">
        <f t="shared" si="12"/>
        <v>59</v>
      </c>
      <c r="I76" s="29"/>
      <c r="J76" s="29"/>
      <c r="K76" s="29"/>
      <c r="L76" s="29">
        <v>59</v>
      </c>
      <c r="M76" s="29"/>
      <c r="N76" s="29"/>
      <c r="O76" s="29"/>
      <c r="P76" s="29"/>
      <c r="Q76" s="29">
        <v>27</v>
      </c>
      <c r="R76" s="29"/>
      <c r="S76" s="29"/>
      <c r="T76" s="43"/>
      <c r="U76" s="40" t="s">
        <v>2717</v>
      </c>
    </row>
    <row r="77" ht="18.5" customHeight="1" outlineLevel="1" spans="1:21">
      <c r="A77" s="24" t="s">
        <v>1076</v>
      </c>
      <c r="B77" s="25" t="s">
        <v>2721</v>
      </c>
      <c r="C77" s="26">
        <f t="shared" si="10"/>
        <v>60</v>
      </c>
      <c r="D77" s="29"/>
      <c r="E77" s="29">
        <v>60</v>
      </c>
      <c r="F77" s="29"/>
      <c r="G77" s="26">
        <f t="shared" si="11"/>
        <v>98</v>
      </c>
      <c r="H77" s="26">
        <f t="shared" si="12"/>
        <v>58</v>
      </c>
      <c r="I77" s="29"/>
      <c r="J77" s="29"/>
      <c r="K77" s="29"/>
      <c r="L77" s="29">
        <v>58</v>
      </c>
      <c r="M77" s="29"/>
      <c r="N77" s="29"/>
      <c r="O77" s="29"/>
      <c r="P77" s="29"/>
      <c r="Q77" s="29">
        <v>40</v>
      </c>
      <c r="R77" s="29"/>
      <c r="S77" s="29"/>
      <c r="T77" s="43"/>
      <c r="U77" s="40" t="s">
        <v>2717</v>
      </c>
    </row>
    <row r="78" ht="18.5" customHeight="1" outlineLevel="1" spans="1:21">
      <c r="A78" s="24" t="s">
        <v>1077</v>
      </c>
      <c r="B78" s="25" t="s">
        <v>690</v>
      </c>
      <c r="C78" s="26">
        <f t="shared" si="10"/>
        <v>195</v>
      </c>
      <c r="D78" s="29"/>
      <c r="E78" s="29">
        <v>195</v>
      </c>
      <c r="F78" s="29"/>
      <c r="G78" s="26">
        <f t="shared" si="11"/>
        <v>285</v>
      </c>
      <c r="H78" s="26">
        <f t="shared" si="12"/>
        <v>185</v>
      </c>
      <c r="I78" s="29"/>
      <c r="J78" s="29"/>
      <c r="K78" s="29"/>
      <c r="L78" s="29">
        <v>185</v>
      </c>
      <c r="M78" s="29"/>
      <c r="N78" s="29"/>
      <c r="O78" s="29"/>
      <c r="P78" s="29">
        <v>1</v>
      </c>
      <c r="Q78" s="29">
        <v>99</v>
      </c>
      <c r="R78" s="29"/>
      <c r="S78" s="29"/>
      <c r="T78" s="43"/>
      <c r="U78" s="40" t="s">
        <v>2717</v>
      </c>
    </row>
    <row r="79" ht="18.5" customHeight="1" outlineLevel="1" spans="1:21">
      <c r="A79" s="24" t="s">
        <v>1078</v>
      </c>
      <c r="B79" s="25" t="s">
        <v>2722</v>
      </c>
      <c r="C79" s="26">
        <f t="shared" si="10"/>
        <v>60</v>
      </c>
      <c r="D79" s="29"/>
      <c r="E79" s="29">
        <v>60</v>
      </c>
      <c r="F79" s="29"/>
      <c r="G79" s="26">
        <f t="shared" si="11"/>
        <v>78</v>
      </c>
      <c r="H79" s="26">
        <f t="shared" si="12"/>
        <v>56</v>
      </c>
      <c r="I79" s="29"/>
      <c r="J79" s="29"/>
      <c r="K79" s="29"/>
      <c r="L79" s="29">
        <v>56</v>
      </c>
      <c r="M79" s="29"/>
      <c r="N79" s="29"/>
      <c r="O79" s="29"/>
      <c r="P79" s="29"/>
      <c r="Q79" s="29">
        <v>22</v>
      </c>
      <c r="R79" s="29"/>
      <c r="S79" s="29"/>
      <c r="T79" s="43"/>
      <c r="U79" s="40" t="s">
        <v>2717</v>
      </c>
    </row>
    <row r="80" ht="18.5" customHeight="1" outlineLevel="1" spans="1:21">
      <c r="A80" s="24" t="s">
        <v>1079</v>
      </c>
      <c r="B80" s="25" t="s">
        <v>2723</v>
      </c>
      <c r="C80" s="26">
        <f t="shared" si="10"/>
        <v>65</v>
      </c>
      <c r="D80" s="29"/>
      <c r="E80" s="29">
        <v>65</v>
      </c>
      <c r="F80" s="29"/>
      <c r="G80" s="26">
        <f t="shared" si="11"/>
        <v>98</v>
      </c>
      <c r="H80" s="26">
        <f t="shared" si="12"/>
        <v>65</v>
      </c>
      <c r="I80" s="29"/>
      <c r="J80" s="29"/>
      <c r="K80" s="29"/>
      <c r="L80" s="29">
        <v>65</v>
      </c>
      <c r="M80" s="29"/>
      <c r="N80" s="29"/>
      <c r="O80" s="29"/>
      <c r="P80" s="29"/>
      <c r="Q80" s="29">
        <v>33</v>
      </c>
      <c r="R80" s="29"/>
      <c r="S80" s="29"/>
      <c r="T80" s="43"/>
      <c r="U80" s="40" t="s">
        <v>2717</v>
      </c>
    </row>
    <row r="81" ht="18.5" customHeight="1" outlineLevel="1" spans="1:21">
      <c r="A81" s="24" t="s">
        <v>1080</v>
      </c>
      <c r="B81" s="25" t="s">
        <v>2724</v>
      </c>
      <c r="C81" s="26">
        <f t="shared" si="10"/>
        <v>70</v>
      </c>
      <c r="D81" s="29"/>
      <c r="E81" s="29">
        <v>70</v>
      </c>
      <c r="F81" s="29"/>
      <c r="G81" s="26">
        <f t="shared" si="11"/>
        <v>143</v>
      </c>
      <c r="H81" s="26">
        <f t="shared" si="12"/>
        <v>75</v>
      </c>
      <c r="I81" s="29"/>
      <c r="J81" s="29"/>
      <c r="K81" s="29"/>
      <c r="L81" s="29">
        <v>75</v>
      </c>
      <c r="M81" s="29"/>
      <c r="N81" s="29"/>
      <c r="O81" s="29"/>
      <c r="P81" s="29"/>
      <c r="Q81" s="29">
        <v>68</v>
      </c>
      <c r="R81" s="29"/>
      <c r="S81" s="29">
        <v>1</v>
      </c>
      <c r="T81" s="43"/>
      <c r="U81" s="40" t="s">
        <v>2717</v>
      </c>
    </row>
    <row r="82" ht="18.5" customHeight="1" outlineLevel="1" spans="1:21">
      <c r="A82" s="24" t="s">
        <v>1081</v>
      </c>
      <c r="B82" s="25" t="s">
        <v>2725</v>
      </c>
      <c r="C82" s="26">
        <f t="shared" si="10"/>
        <v>60</v>
      </c>
      <c r="D82" s="29"/>
      <c r="E82" s="29">
        <v>60</v>
      </c>
      <c r="F82" s="29"/>
      <c r="G82" s="26">
        <f t="shared" si="11"/>
        <v>87</v>
      </c>
      <c r="H82" s="26">
        <f t="shared" si="12"/>
        <v>58</v>
      </c>
      <c r="I82" s="29"/>
      <c r="J82" s="29"/>
      <c r="K82" s="29"/>
      <c r="L82" s="29">
        <v>58</v>
      </c>
      <c r="M82" s="29"/>
      <c r="N82" s="29"/>
      <c r="O82" s="29"/>
      <c r="P82" s="29"/>
      <c r="Q82" s="29">
        <v>29</v>
      </c>
      <c r="R82" s="29"/>
      <c r="S82" s="29"/>
      <c r="T82" s="43"/>
      <c r="U82" s="40" t="s">
        <v>2717</v>
      </c>
    </row>
    <row r="83" ht="18.5" customHeight="1" outlineLevel="1" spans="1:21">
      <c r="A83" s="24" t="s">
        <v>1082</v>
      </c>
      <c r="B83" s="25" t="s">
        <v>2726</v>
      </c>
      <c r="C83" s="26">
        <f t="shared" si="10"/>
        <v>7</v>
      </c>
      <c r="D83" s="29"/>
      <c r="E83" s="29">
        <v>7</v>
      </c>
      <c r="F83" s="29"/>
      <c r="G83" s="26">
        <f t="shared" si="11"/>
        <v>5</v>
      </c>
      <c r="H83" s="26">
        <f t="shared" si="12"/>
        <v>5</v>
      </c>
      <c r="I83" s="29"/>
      <c r="J83" s="29"/>
      <c r="K83" s="29"/>
      <c r="L83" s="29">
        <v>5</v>
      </c>
      <c r="M83" s="29"/>
      <c r="N83" s="29"/>
      <c r="O83" s="29"/>
      <c r="P83" s="29"/>
      <c r="Q83" s="29"/>
      <c r="R83" s="29"/>
      <c r="S83" s="29"/>
      <c r="T83" s="43"/>
      <c r="U83" s="40" t="s">
        <v>2717</v>
      </c>
    </row>
    <row r="84" ht="18.5" customHeight="1" outlineLevel="1" spans="1:21">
      <c r="A84" s="24" t="s">
        <v>1083</v>
      </c>
      <c r="B84" s="25" t="s">
        <v>696</v>
      </c>
      <c r="C84" s="26">
        <f t="shared" si="10"/>
        <v>50</v>
      </c>
      <c r="D84" s="29"/>
      <c r="E84" s="29">
        <v>50</v>
      </c>
      <c r="F84" s="29"/>
      <c r="G84" s="26">
        <f t="shared" si="11"/>
        <v>38</v>
      </c>
      <c r="H84" s="26">
        <f t="shared" si="12"/>
        <v>38</v>
      </c>
      <c r="I84" s="29"/>
      <c r="J84" s="29"/>
      <c r="K84" s="29"/>
      <c r="L84" s="29">
        <v>38</v>
      </c>
      <c r="M84" s="29"/>
      <c r="N84" s="29"/>
      <c r="O84" s="29"/>
      <c r="P84" s="29"/>
      <c r="Q84" s="29"/>
      <c r="R84" s="29"/>
      <c r="S84" s="29"/>
      <c r="T84" s="43"/>
      <c r="U84" s="40" t="s">
        <v>2717</v>
      </c>
    </row>
    <row r="85" ht="18.5" customHeight="1" outlineLevel="1" spans="1:21">
      <c r="A85" s="24" t="s">
        <v>1084</v>
      </c>
      <c r="B85" s="25" t="s">
        <v>697</v>
      </c>
      <c r="C85" s="26">
        <f t="shared" si="10"/>
        <v>19</v>
      </c>
      <c r="D85" s="29">
        <v>7</v>
      </c>
      <c r="E85" s="29">
        <v>12</v>
      </c>
      <c r="F85" s="29"/>
      <c r="G85" s="26">
        <f t="shared" si="11"/>
        <v>22</v>
      </c>
      <c r="H85" s="26">
        <f t="shared" si="12"/>
        <v>22</v>
      </c>
      <c r="I85" s="29">
        <v>10</v>
      </c>
      <c r="J85" s="29"/>
      <c r="K85" s="29">
        <v>12</v>
      </c>
      <c r="L85" s="29"/>
      <c r="M85" s="29"/>
      <c r="N85" s="29"/>
      <c r="O85" s="29"/>
      <c r="P85" s="29"/>
      <c r="Q85" s="29"/>
      <c r="R85" s="29"/>
      <c r="S85" s="29"/>
      <c r="T85" s="43"/>
      <c r="U85" s="40"/>
    </row>
    <row r="86" ht="18.5" customHeight="1" outlineLevel="1" spans="1:21">
      <c r="A86" s="24" t="s">
        <v>1085</v>
      </c>
      <c r="B86" s="25" t="s">
        <v>698</v>
      </c>
      <c r="C86" s="26">
        <f t="shared" si="10"/>
        <v>5</v>
      </c>
      <c r="D86" s="29"/>
      <c r="E86" s="29">
        <v>5</v>
      </c>
      <c r="F86" s="29"/>
      <c r="G86" s="26">
        <f t="shared" si="11"/>
        <v>5</v>
      </c>
      <c r="H86" s="26">
        <f t="shared" si="12"/>
        <v>5</v>
      </c>
      <c r="I86" s="29">
        <v>1</v>
      </c>
      <c r="J86" s="29"/>
      <c r="K86" s="29">
        <v>4</v>
      </c>
      <c r="L86" s="29"/>
      <c r="M86" s="29"/>
      <c r="N86" s="29"/>
      <c r="O86" s="29"/>
      <c r="P86" s="29"/>
      <c r="Q86" s="29"/>
      <c r="R86" s="29"/>
      <c r="S86" s="29"/>
      <c r="T86" s="43"/>
      <c r="U86" s="40"/>
    </row>
    <row r="87" s="6" customFormat="1" ht="18.5" customHeight="1" spans="1:21">
      <c r="A87" s="21"/>
      <c r="B87" s="27" t="s">
        <v>699</v>
      </c>
      <c r="C87" s="28">
        <f t="shared" ref="C87:S87" si="13">SUM(C88:C105)</f>
        <v>858</v>
      </c>
      <c r="D87" s="28">
        <f t="shared" si="13"/>
        <v>129</v>
      </c>
      <c r="E87" s="28">
        <f t="shared" si="13"/>
        <v>729</v>
      </c>
      <c r="F87" s="28">
        <f t="shared" si="13"/>
        <v>0</v>
      </c>
      <c r="G87" s="28">
        <f t="shared" si="13"/>
        <v>1409</v>
      </c>
      <c r="H87" s="28">
        <f t="shared" si="13"/>
        <v>837</v>
      </c>
      <c r="I87" s="28">
        <f t="shared" si="13"/>
        <v>118</v>
      </c>
      <c r="J87" s="28">
        <f t="shared" si="13"/>
        <v>0</v>
      </c>
      <c r="K87" s="28">
        <f t="shared" si="13"/>
        <v>576</v>
      </c>
      <c r="L87" s="28">
        <f t="shared" si="13"/>
        <v>0</v>
      </c>
      <c r="M87" s="28">
        <f t="shared" si="13"/>
        <v>6</v>
      </c>
      <c r="N87" s="28">
        <f t="shared" si="13"/>
        <v>125</v>
      </c>
      <c r="O87" s="28">
        <f t="shared" si="13"/>
        <v>12</v>
      </c>
      <c r="P87" s="28">
        <f t="shared" si="13"/>
        <v>2</v>
      </c>
      <c r="Q87" s="28">
        <f t="shared" si="13"/>
        <v>570</v>
      </c>
      <c r="R87" s="28">
        <f t="shared" si="13"/>
        <v>60</v>
      </c>
      <c r="S87" s="28">
        <f t="shared" si="13"/>
        <v>0</v>
      </c>
      <c r="T87" s="35"/>
      <c r="U87" s="41" t="s">
        <v>2708</v>
      </c>
    </row>
    <row r="88" ht="18.5" customHeight="1" outlineLevel="1" spans="1:21">
      <c r="A88" s="24" t="s">
        <v>2194</v>
      </c>
      <c r="B88" s="25" t="s">
        <v>700</v>
      </c>
      <c r="C88" s="26">
        <f t="shared" ref="C88:C105" si="14">SUM(D88:E88)</f>
        <v>69</v>
      </c>
      <c r="D88" s="26">
        <v>23</v>
      </c>
      <c r="E88" s="26">
        <v>46</v>
      </c>
      <c r="F88" s="26"/>
      <c r="G88" s="26">
        <f t="shared" ref="G88:G105" si="15">SUM(P88,Q88,H88)</f>
        <v>158</v>
      </c>
      <c r="H88" s="26">
        <f t="shared" ref="H88:H105" si="16">SUM(I88:O88)</f>
        <v>69</v>
      </c>
      <c r="I88" s="26">
        <v>20</v>
      </c>
      <c r="J88" s="26"/>
      <c r="K88" s="26">
        <v>46</v>
      </c>
      <c r="L88" s="26"/>
      <c r="M88" s="26"/>
      <c r="N88" s="26"/>
      <c r="O88" s="26">
        <v>3</v>
      </c>
      <c r="P88" s="26"/>
      <c r="Q88" s="26">
        <v>89</v>
      </c>
      <c r="R88" s="26">
        <v>3</v>
      </c>
      <c r="S88" s="26"/>
      <c r="T88" s="37"/>
      <c r="U88" s="40"/>
    </row>
    <row r="89" ht="18.5" customHeight="1" outlineLevel="1" spans="1:21">
      <c r="A89" s="24" t="s">
        <v>2195</v>
      </c>
      <c r="B89" s="25" t="s">
        <v>701</v>
      </c>
      <c r="C89" s="26">
        <f t="shared" si="14"/>
        <v>163</v>
      </c>
      <c r="D89" s="26">
        <v>21</v>
      </c>
      <c r="E89" s="26">
        <v>142</v>
      </c>
      <c r="F89" s="26"/>
      <c r="G89" s="26">
        <f t="shared" si="15"/>
        <v>277</v>
      </c>
      <c r="H89" s="26">
        <f t="shared" si="16"/>
        <v>157</v>
      </c>
      <c r="I89" s="26">
        <v>19</v>
      </c>
      <c r="J89" s="26"/>
      <c r="K89" s="26">
        <v>135</v>
      </c>
      <c r="L89" s="26"/>
      <c r="M89" s="26"/>
      <c r="N89" s="26"/>
      <c r="O89" s="26">
        <v>3</v>
      </c>
      <c r="P89" s="26"/>
      <c r="Q89" s="26">
        <v>120</v>
      </c>
      <c r="R89" s="26">
        <v>6</v>
      </c>
      <c r="S89" s="26"/>
      <c r="T89" s="37"/>
      <c r="U89" s="40"/>
    </row>
    <row r="90" ht="18.5" customHeight="1" outlineLevel="1" spans="1:21">
      <c r="A90" s="24" t="s">
        <v>2196</v>
      </c>
      <c r="B90" s="25" t="s">
        <v>702</v>
      </c>
      <c r="C90" s="26">
        <f t="shared" si="14"/>
        <v>17</v>
      </c>
      <c r="D90" s="26"/>
      <c r="E90" s="26">
        <v>17</v>
      </c>
      <c r="F90" s="26"/>
      <c r="G90" s="26">
        <f t="shared" si="15"/>
        <v>15</v>
      </c>
      <c r="H90" s="26">
        <f t="shared" si="16"/>
        <v>14</v>
      </c>
      <c r="I90" s="26"/>
      <c r="J90" s="26"/>
      <c r="K90" s="26">
        <v>14</v>
      </c>
      <c r="L90" s="26"/>
      <c r="M90" s="26"/>
      <c r="N90" s="26"/>
      <c r="O90" s="26"/>
      <c r="P90" s="26"/>
      <c r="Q90" s="26">
        <v>1</v>
      </c>
      <c r="R90" s="26"/>
      <c r="S90" s="26"/>
      <c r="T90" s="37"/>
      <c r="U90" s="40"/>
    </row>
    <row r="91" ht="18.5" customHeight="1" outlineLevel="1" spans="1:21">
      <c r="A91" s="24" t="s">
        <v>2197</v>
      </c>
      <c r="B91" s="25" t="s">
        <v>703</v>
      </c>
      <c r="C91" s="26">
        <f t="shared" si="14"/>
        <v>6</v>
      </c>
      <c r="D91" s="26"/>
      <c r="E91" s="26">
        <v>6</v>
      </c>
      <c r="F91" s="26"/>
      <c r="G91" s="26">
        <f t="shared" si="15"/>
        <v>15</v>
      </c>
      <c r="H91" s="26">
        <f t="shared" si="16"/>
        <v>6</v>
      </c>
      <c r="I91" s="26"/>
      <c r="J91" s="26"/>
      <c r="K91" s="26"/>
      <c r="L91" s="26"/>
      <c r="M91" s="26">
        <v>6</v>
      </c>
      <c r="N91" s="26"/>
      <c r="O91" s="26"/>
      <c r="P91" s="26"/>
      <c r="Q91" s="26">
        <v>9</v>
      </c>
      <c r="R91" s="26"/>
      <c r="S91" s="26"/>
      <c r="T91" s="37"/>
      <c r="U91" s="40" t="s">
        <v>2727</v>
      </c>
    </row>
    <row r="92" ht="18.5" customHeight="1" outlineLevel="1" spans="1:21">
      <c r="A92" s="24" t="s">
        <v>2198</v>
      </c>
      <c r="B92" s="25" t="s">
        <v>704</v>
      </c>
      <c r="C92" s="26">
        <f t="shared" si="14"/>
        <v>33</v>
      </c>
      <c r="D92" s="26">
        <v>21</v>
      </c>
      <c r="E92" s="26">
        <v>12</v>
      </c>
      <c r="F92" s="26"/>
      <c r="G92" s="26">
        <f t="shared" si="15"/>
        <v>57</v>
      </c>
      <c r="H92" s="26">
        <f t="shared" si="16"/>
        <v>26</v>
      </c>
      <c r="I92" s="26">
        <v>20</v>
      </c>
      <c r="J92" s="26"/>
      <c r="K92" s="26">
        <v>2</v>
      </c>
      <c r="L92" s="26"/>
      <c r="M92" s="26"/>
      <c r="N92" s="26">
        <v>2</v>
      </c>
      <c r="O92" s="26">
        <v>2</v>
      </c>
      <c r="P92" s="26"/>
      <c r="Q92" s="26">
        <v>31</v>
      </c>
      <c r="R92" s="26"/>
      <c r="S92" s="26"/>
      <c r="T92" s="37"/>
      <c r="U92" s="40"/>
    </row>
    <row r="93" ht="18.5" customHeight="1" outlineLevel="1" spans="1:21">
      <c r="A93" s="24" t="s">
        <v>2199</v>
      </c>
      <c r="B93" s="25" t="s">
        <v>705</v>
      </c>
      <c r="C93" s="26">
        <f t="shared" si="14"/>
        <v>5</v>
      </c>
      <c r="D93" s="26"/>
      <c r="E93" s="26">
        <v>5</v>
      </c>
      <c r="F93" s="26"/>
      <c r="G93" s="26">
        <f t="shared" si="15"/>
        <v>24</v>
      </c>
      <c r="H93" s="26">
        <f t="shared" si="16"/>
        <v>24</v>
      </c>
      <c r="I93" s="26"/>
      <c r="J93" s="26"/>
      <c r="K93" s="26">
        <v>4</v>
      </c>
      <c r="L93" s="26"/>
      <c r="M93" s="26"/>
      <c r="N93" s="26">
        <v>20</v>
      </c>
      <c r="O93" s="26"/>
      <c r="P93" s="26"/>
      <c r="Q93" s="26"/>
      <c r="R93" s="26">
        <v>3</v>
      </c>
      <c r="S93" s="26"/>
      <c r="T93" s="37"/>
      <c r="U93" s="40" t="s">
        <v>2728</v>
      </c>
    </row>
    <row r="94" ht="18.5" customHeight="1" outlineLevel="1" spans="1:21">
      <c r="A94" s="24" t="s">
        <v>2200</v>
      </c>
      <c r="B94" s="25" t="s">
        <v>706</v>
      </c>
      <c r="C94" s="26">
        <f t="shared" si="14"/>
        <v>5</v>
      </c>
      <c r="D94" s="26"/>
      <c r="E94" s="26">
        <v>5</v>
      </c>
      <c r="F94" s="26"/>
      <c r="G94" s="26">
        <f t="shared" si="15"/>
        <v>5</v>
      </c>
      <c r="H94" s="26">
        <f t="shared" si="16"/>
        <v>5</v>
      </c>
      <c r="I94" s="26"/>
      <c r="J94" s="26"/>
      <c r="K94" s="26">
        <v>5</v>
      </c>
      <c r="L94" s="26"/>
      <c r="M94" s="26"/>
      <c r="N94" s="26"/>
      <c r="O94" s="26"/>
      <c r="P94" s="26"/>
      <c r="Q94" s="26"/>
      <c r="R94" s="26"/>
      <c r="S94" s="26"/>
      <c r="T94" s="37"/>
      <c r="U94" s="40" t="s">
        <v>2728</v>
      </c>
    </row>
    <row r="95" ht="18.5" customHeight="1" outlineLevel="1" spans="1:21">
      <c r="A95" s="24" t="s">
        <v>2201</v>
      </c>
      <c r="B95" s="25" t="s">
        <v>707</v>
      </c>
      <c r="C95" s="26">
        <f t="shared" si="14"/>
        <v>6</v>
      </c>
      <c r="D95" s="26"/>
      <c r="E95" s="26">
        <v>6</v>
      </c>
      <c r="F95" s="26"/>
      <c r="G95" s="26">
        <f t="shared" si="15"/>
        <v>12</v>
      </c>
      <c r="H95" s="26">
        <f t="shared" si="16"/>
        <v>11</v>
      </c>
      <c r="I95" s="26"/>
      <c r="J95" s="26"/>
      <c r="K95" s="26">
        <v>5</v>
      </c>
      <c r="L95" s="26"/>
      <c r="M95" s="26"/>
      <c r="N95" s="26">
        <v>6</v>
      </c>
      <c r="O95" s="26"/>
      <c r="P95" s="26"/>
      <c r="Q95" s="26">
        <v>1</v>
      </c>
      <c r="R95" s="26"/>
      <c r="S95" s="26"/>
      <c r="T95" s="37"/>
      <c r="U95" s="40" t="s">
        <v>2728</v>
      </c>
    </row>
    <row r="96" ht="18.5" customHeight="1" outlineLevel="1" spans="1:21">
      <c r="A96" s="24" t="s">
        <v>2202</v>
      </c>
      <c r="B96" s="25" t="s">
        <v>2203</v>
      </c>
      <c r="C96" s="26">
        <f t="shared" si="14"/>
        <v>45</v>
      </c>
      <c r="D96" s="26"/>
      <c r="E96" s="26">
        <v>45</v>
      </c>
      <c r="F96" s="26"/>
      <c r="G96" s="26">
        <f t="shared" si="15"/>
        <v>59</v>
      </c>
      <c r="H96" s="26">
        <f t="shared" si="16"/>
        <v>40</v>
      </c>
      <c r="I96" s="26"/>
      <c r="J96" s="26"/>
      <c r="K96" s="26">
        <v>40</v>
      </c>
      <c r="L96" s="26"/>
      <c r="M96" s="26"/>
      <c r="N96" s="26"/>
      <c r="O96" s="26"/>
      <c r="P96" s="26"/>
      <c r="Q96" s="26">
        <v>19</v>
      </c>
      <c r="R96" s="26"/>
      <c r="S96" s="26"/>
      <c r="T96" s="37"/>
      <c r="U96" s="40"/>
    </row>
    <row r="97" ht="18.5" customHeight="1" outlineLevel="1" spans="1:21">
      <c r="A97" s="24" t="s">
        <v>2204</v>
      </c>
      <c r="B97" s="25" t="s">
        <v>709</v>
      </c>
      <c r="C97" s="26">
        <f t="shared" si="14"/>
        <v>41</v>
      </c>
      <c r="D97" s="26"/>
      <c r="E97" s="26">
        <v>41</v>
      </c>
      <c r="F97" s="26"/>
      <c r="G97" s="26">
        <f t="shared" si="15"/>
        <v>95</v>
      </c>
      <c r="H97" s="26">
        <f t="shared" si="16"/>
        <v>38</v>
      </c>
      <c r="I97" s="26"/>
      <c r="J97" s="26"/>
      <c r="K97" s="26">
        <v>38</v>
      </c>
      <c r="L97" s="26"/>
      <c r="M97" s="26"/>
      <c r="N97" s="26"/>
      <c r="O97" s="26"/>
      <c r="P97" s="26"/>
      <c r="Q97" s="26">
        <v>57</v>
      </c>
      <c r="R97" s="26">
        <v>1</v>
      </c>
      <c r="S97" s="26"/>
      <c r="T97" s="37"/>
      <c r="U97" s="40" t="s">
        <v>2711</v>
      </c>
    </row>
    <row r="98" ht="18.5" customHeight="1" outlineLevel="1" spans="1:21">
      <c r="A98" s="24" t="s">
        <v>2205</v>
      </c>
      <c r="B98" s="25" t="s">
        <v>710</v>
      </c>
      <c r="C98" s="26">
        <f t="shared" si="14"/>
        <v>24</v>
      </c>
      <c r="D98" s="26">
        <v>21</v>
      </c>
      <c r="E98" s="26">
        <v>3</v>
      </c>
      <c r="F98" s="26"/>
      <c r="G98" s="26">
        <f t="shared" si="15"/>
        <v>55</v>
      </c>
      <c r="H98" s="26">
        <f t="shared" si="16"/>
        <v>20</v>
      </c>
      <c r="I98" s="26">
        <v>19</v>
      </c>
      <c r="J98" s="26"/>
      <c r="K98" s="26">
        <v>1</v>
      </c>
      <c r="L98" s="26"/>
      <c r="M98" s="26"/>
      <c r="N98" s="26"/>
      <c r="O98" s="26"/>
      <c r="P98" s="26">
        <v>1</v>
      </c>
      <c r="Q98" s="26">
        <v>34</v>
      </c>
      <c r="R98" s="26"/>
      <c r="S98" s="26"/>
      <c r="T98" s="37"/>
      <c r="U98" s="40"/>
    </row>
    <row r="99" ht="18.5" customHeight="1" outlineLevel="1" spans="1:21">
      <c r="A99" s="24" t="s">
        <v>2206</v>
      </c>
      <c r="B99" s="25" t="s">
        <v>2207</v>
      </c>
      <c r="C99" s="26">
        <f t="shared" si="14"/>
        <v>141</v>
      </c>
      <c r="D99" s="26"/>
      <c r="E99" s="26">
        <v>141</v>
      </c>
      <c r="F99" s="26"/>
      <c r="G99" s="26">
        <f t="shared" si="15"/>
        <v>213</v>
      </c>
      <c r="H99" s="26">
        <f t="shared" si="16"/>
        <v>129</v>
      </c>
      <c r="I99" s="26"/>
      <c r="J99" s="26"/>
      <c r="K99" s="26">
        <v>129</v>
      </c>
      <c r="L99" s="26"/>
      <c r="M99" s="26"/>
      <c r="N99" s="26"/>
      <c r="O99" s="26"/>
      <c r="P99" s="26">
        <v>1</v>
      </c>
      <c r="Q99" s="26">
        <v>83</v>
      </c>
      <c r="R99" s="26">
        <v>8</v>
      </c>
      <c r="S99" s="26"/>
      <c r="T99" s="37"/>
      <c r="U99" s="40"/>
    </row>
    <row r="100" ht="18.5" customHeight="1" outlineLevel="1" spans="1:21">
      <c r="A100" s="24" t="s">
        <v>2208</v>
      </c>
      <c r="B100" s="25" t="s">
        <v>2209</v>
      </c>
      <c r="C100" s="26">
        <f t="shared" si="14"/>
        <v>22</v>
      </c>
      <c r="D100" s="26"/>
      <c r="E100" s="26">
        <v>22</v>
      </c>
      <c r="F100" s="26"/>
      <c r="G100" s="26">
        <f t="shared" si="15"/>
        <v>35</v>
      </c>
      <c r="H100" s="26">
        <f t="shared" si="16"/>
        <v>21</v>
      </c>
      <c r="I100" s="26"/>
      <c r="J100" s="26"/>
      <c r="K100" s="26">
        <v>21</v>
      </c>
      <c r="L100" s="26"/>
      <c r="M100" s="26"/>
      <c r="N100" s="26"/>
      <c r="O100" s="26"/>
      <c r="P100" s="26"/>
      <c r="Q100" s="26">
        <v>14</v>
      </c>
      <c r="R100" s="26">
        <v>3</v>
      </c>
      <c r="S100" s="26"/>
      <c r="T100" s="37"/>
      <c r="U100" s="40"/>
    </row>
    <row r="101" ht="18.5" customHeight="1" outlineLevel="1" spans="1:21">
      <c r="A101" s="24" t="s">
        <v>2210</v>
      </c>
      <c r="B101" s="25" t="s">
        <v>713</v>
      </c>
      <c r="C101" s="26">
        <f t="shared" si="14"/>
        <v>97</v>
      </c>
      <c r="D101" s="26"/>
      <c r="E101" s="26">
        <v>97</v>
      </c>
      <c r="F101" s="26"/>
      <c r="G101" s="26">
        <f t="shared" si="15"/>
        <v>173</v>
      </c>
      <c r="H101" s="26">
        <f t="shared" si="16"/>
        <v>97</v>
      </c>
      <c r="I101" s="26"/>
      <c r="J101" s="26"/>
      <c r="K101" s="26"/>
      <c r="L101" s="26"/>
      <c r="M101" s="26"/>
      <c r="N101" s="26">
        <v>97</v>
      </c>
      <c r="O101" s="26"/>
      <c r="P101" s="26"/>
      <c r="Q101" s="26">
        <v>76</v>
      </c>
      <c r="R101" s="26">
        <v>35</v>
      </c>
      <c r="S101" s="26"/>
      <c r="T101" s="37"/>
      <c r="U101" s="40" t="s">
        <v>2728</v>
      </c>
    </row>
    <row r="102" ht="18.5" customHeight="1" outlineLevel="1" spans="1:21">
      <c r="A102" s="24" t="s">
        <v>2211</v>
      </c>
      <c r="B102" s="25" t="s">
        <v>714</v>
      </c>
      <c r="C102" s="26">
        <f t="shared" si="14"/>
        <v>9</v>
      </c>
      <c r="D102" s="26"/>
      <c r="E102" s="26">
        <v>9</v>
      </c>
      <c r="F102" s="26"/>
      <c r="G102" s="26">
        <f t="shared" si="15"/>
        <v>41</v>
      </c>
      <c r="H102" s="26">
        <f t="shared" si="16"/>
        <v>22</v>
      </c>
      <c r="I102" s="26"/>
      <c r="J102" s="26"/>
      <c r="K102" s="26">
        <v>22</v>
      </c>
      <c r="L102" s="26"/>
      <c r="M102" s="26"/>
      <c r="N102" s="26"/>
      <c r="O102" s="26"/>
      <c r="P102" s="26"/>
      <c r="Q102" s="26">
        <v>19</v>
      </c>
      <c r="R102" s="26"/>
      <c r="S102" s="26"/>
      <c r="T102" s="37"/>
      <c r="U102" s="40"/>
    </row>
    <row r="103" ht="18.5" customHeight="1" outlineLevel="1" spans="1:21">
      <c r="A103" s="24" t="s">
        <v>2212</v>
      </c>
      <c r="B103" s="25" t="s">
        <v>715</v>
      </c>
      <c r="C103" s="26">
        <f t="shared" si="14"/>
        <v>60</v>
      </c>
      <c r="D103" s="26">
        <v>12</v>
      </c>
      <c r="E103" s="26">
        <v>48</v>
      </c>
      <c r="F103" s="26"/>
      <c r="G103" s="26">
        <f t="shared" si="15"/>
        <v>62</v>
      </c>
      <c r="H103" s="26">
        <f t="shared" si="16"/>
        <v>59</v>
      </c>
      <c r="I103" s="26">
        <v>10</v>
      </c>
      <c r="J103" s="26"/>
      <c r="K103" s="26">
        <v>48</v>
      </c>
      <c r="L103" s="26"/>
      <c r="M103" s="26"/>
      <c r="N103" s="26"/>
      <c r="O103" s="26">
        <v>1</v>
      </c>
      <c r="P103" s="26"/>
      <c r="Q103" s="26">
        <v>3</v>
      </c>
      <c r="R103" s="26"/>
      <c r="S103" s="26"/>
      <c r="T103" s="37"/>
      <c r="U103" s="40"/>
    </row>
    <row r="104" ht="18.5" customHeight="1" outlineLevel="1" spans="1:21">
      <c r="A104" s="24" t="s">
        <v>2213</v>
      </c>
      <c r="B104" s="25" t="s">
        <v>716</v>
      </c>
      <c r="C104" s="26">
        <f t="shared" si="14"/>
        <v>27</v>
      </c>
      <c r="D104" s="26"/>
      <c r="E104" s="26">
        <v>27</v>
      </c>
      <c r="F104" s="26"/>
      <c r="G104" s="26">
        <f t="shared" si="15"/>
        <v>27</v>
      </c>
      <c r="H104" s="26">
        <f t="shared" si="16"/>
        <v>26</v>
      </c>
      <c r="I104" s="26"/>
      <c r="J104" s="26"/>
      <c r="K104" s="26">
        <v>26</v>
      </c>
      <c r="L104" s="26"/>
      <c r="M104" s="26"/>
      <c r="N104" s="26"/>
      <c r="O104" s="26"/>
      <c r="P104" s="26"/>
      <c r="Q104" s="26">
        <v>1</v>
      </c>
      <c r="R104" s="26"/>
      <c r="S104" s="26"/>
      <c r="T104" s="37"/>
      <c r="U104" s="40"/>
    </row>
    <row r="105" ht="18.5" customHeight="1" outlineLevel="1" spans="1:21">
      <c r="A105" s="24" t="s">
        <v>2214</v>
      </c>
      <c r="B105" s="25" t="s">
        <v>717</v>
      </c>
      <c r="C105" s="26">
        <f t="shared" si="14"/>
        <v>88</v>
      </c>
      <c r="D105" s="26">
        <v>31</v>
      </c>
      <c r="E105" s="26">
        <v>57</v>
      </c>
      <c r="F105" s="26"/>
      <c r="G105" s="26">
        <f t="shared" si="15"/>
        <v>86</v>
      </c>
      <c r="H105" s="26">
        <f t="shared" si="16"/>
        <v>73</v>
      </c>
      <c r="I105" s="26">
        <v>30</v>
      </c>
      <c r="J105" s="26"/>
      <c r="K105" s="26">
        <v>40</v>
      </c>
      <c r="L105" s="26"/>
      <c r="M105" s="26"/>
      <c r="N105" s="26"/>
      <c r="O105" s="26">
        <v>3</v>
      </c>
      <c r="P105" s="26"/>
      <c r="Q105" s="26">
        <v>13</v>
      </c>
      <c r="R105" s="26">
        <v>1</v>
      </c>
      <c r="S105" s="26"/>
      <c r="T105" s="37"/>
      <c r="U105" s="40"/>
    </row>
    <row r="106" s="6" customFormat="1" ht="18.5" customHeight="1" spans="1:21">
      <c r="A106" s="21"/>
      <c r="B106" s="27" t="s">
        <v>718</v>
      </c>
      <c r="C106" s="28">
        <f t="shared" ref="C106:S106" si="17">SUM(C107:C108)</f>
        <v>505</v>
      </c>
      <c r="D106" s="28">
        <f t="shared" si="17"/>
        <v>32</v>
      </c>
      <c r="E106" s="28">
        <f t="shared" si="17"/>
        <v>473</v>
      </c>
      <c r="F106" s="28">
        <f t="shared" si="17"/>
        <v>0</v>
      </c>
      <c r="G106" s="28">
        <f t="shared" si="17"/>
        <v>653</v>
      </c>
      <c r="H106" s="28">
        <f t="shared" si="17"/>
        <v>483</v>
      </c>
      <c r="I106" s="28">
        <f t="shared" si="17"/>
        <v>28</v>
      </c>
      <c r="J106" s="28">
        <f t="shared" si="17"/>
        <v>0</v>
      </c>
      <c r="K106" s="28">
        <f t="shared" si="17"/>
        <v>209</v>
      </c>
      <c r="L106" s="28">
        <f t="shared" si="17"/>
        <v>0</v>
      </c>
      <c r="M106" s="28">
        <f t="shared" si="17"/>
        <v>244</v>
      </c>
      <c r="N106" s="28">
        <f t="shared" si="17"/>
        <v>0</v>
      </c>
      <c r="O106" s="28">
        <f t="shared" si="17"/>
        <v>2</v>
      </c>
      <c r="P106" s="28">
        <f t="shared" si="17"/>
        <v>0</v>
      </c>
      <c r="Q106" s="28">
        <f t="shared" si="17"/>
        <v>170</v>
      </c>
      <c r="R106" s="28">
        <f t="shared" si="17"/>
        <v>19</v>
      </c>
      <c r="S106" s="28">
        <f t="shared" si="17"/>
        <v>42</v>
      </c>
      <c r="T106" s="39"/>
      <c r="U106" s="41" t="s">
        <v>2708</v>
      </c>
    </row>
    <row r="107" ht="18.5" customHeight="1" outlineLevel="1" spans="1:21">
      <c r="A107" s="24" t="s">
        <v>719</v>
      </c>
      <c r="B107" s="25" t="s">
        <v>1086</v>
      </c>
      <c r="C107" s="26">
        <f t="shared" ref="C107:C117" si="18">SUM(D107:E107)</f>
        <v>492</v>
      </c>
      <c r="D107" s="26">
        <v>32</v>
      </c>
      <c r="E107" s="26">
        <v>460</v>
      </c>
      <c r="F107" s="26"/>
      <c r="G107" s="26">
        <f t="shared" ref="G107:G117" si="19">SUM(P107,Q107,H107)</f>
        <v>642</v>
      </c>
      <c r="H107" s="26">
        <f t="shared" ref="H107:H117" si="20">SUM(I107:O107)</f>
        <v>472</v>
      </c>
      <c r="I107" s="26">
        <v>28</v>
      </c>
      <c r="J107" s="26"/>
      <c r="K107" s="26">
        <v>198</v>
      </c>
      <c r="L107" s="26"/>
      <c r="M107" s="26">
        <v>244</v>
      </c>
      <c r="N107" s="26"/>
      <c r="O107" s="26">
        <v>2</v>
      </c>
      <c r="P107" s="26"/>
      <c r="Q107" s="26">
        <v>170</v>
      </c>
      <c r="R107" s="26">
        <v>19</v>
      </c>
      <c r="S107" s="26">
        <v>42</v>
      </c>
      <c r="T107" s="37"/>
      <c r="U107" s="40"/>
    </row>
    <row r="108" ht="18.5" customHeight="1" outlineLevel="1" spans="1:21">
      <c r="A108" s="24" t="s">
        <v>725</v>
      </c>
      <c r="B108" s="25" t="s">
        <v>726</v>
      </c>
      <c r="C108" s="26">
        <f t="shared" si="18"/>
        <v>13</v>
      </c>
      <c r="D108" s="26"/>
      <c r="E108" s="26">
        <v>13</v>
      </c>
      <c r="F108" s="26"/>
      <c r="G108" s="26">
        <f t="shared" si="19"/>
        <v>11</v>
      </c>
      <c r="H108" s="26">
        <f t="shared" si="20"/>
        <v>11</v>
      </c>
      <c r="I108" s="26"/>
      <c r="J108" s="26"/>
      <c r="K108" s="26">
        <v>11</v>
      </c>
      <c r="L108" s="26"/>
      <c r="M108" s="26"/>
      <c r="N108" s="26"/>
      <c r="O108" s="26"/>
      <c r="P108" s="26"/>
      <c r="Q108" s="26"/>
      <c r="R108" s="26"/>
      <c r="S108" s="26"/>
      <c r="T108" s="37"/>
      <c r="U108" s="40"/>
    </row>
    <row r="109" ht="18.5" customHeight="1" outlineLevel="1" spans="1:21">
      <c r="A109" s="21"/>
      <c r="B109" s="27" t="s">
        <v>727</v>
      </c>
      <c r="C109" s="28">
        <f t="shared" ref="C109:S109" si="21">SUM(C110:C117)</f>
        <v>173</v>
      </c>
      <c r="D109" s="28">
        <f t="shared" si="21"/>
        <v>29</v>
      </c>
      <c r="E109" s="28">
        <f t="shared" si="21"/>
        <v>144</v>
      </c>
      <c r="F109" s="28">
        <f t="shared" si="21"/>
        <v>0</v>
      </c>
      <c r="G109" s="28">
        <f t="shared" si="21"/>
        <v>371</v>
      </c>
      <c r="H109" s="28">
        <f t="shared" si="21"/>
        <v>187</v>
      </c>
      <c r="I109" s="28">
        <f t="shared" si="21"/>
        <v>26</v>
      </c>
      <c r="J109" s="28">
        <f t="shared" si="21"/>
        <v>15</v>
      </c>
      <c r="K109" s="28">
        <f t="shared" si="21"/>
        <v>102</v>
      </c>
      <c r="L109" s="28">
        <f t="shared" si="21"/>
        <v>0</v>
      </c>
      <c r="M109" s="28">
        <f t="shared" si="21"/>
        <v>41</v>
      </c>
      <c r="N109" s="28">
        <f t="shared" si="21"/>
        <v>0</v>
      </c>
      <c r="O109" s="28">
        <f t="shared" si="21"/>
        <v>3</v>
      </c>
      <c r="P109" s="28">
        <f t="shared" si="21"/>
        <v>2</v>
      </c>
      <c r="Q109" s="28">
        <f t="shared" si="21"/>
        <v>182</v>
      </c>
      <c r="R109" s="28">
        <f t="shared" si="21"/>
        <v>6</v>
      </c>
      <c r="S109" s="28">
        <f t="shared" si="21"/>
        <v>0</v>
      </c>
      <c r="T109" s="39"/>
      <c r="U109" s="41" t="s">
        <v>2708</v>
      </c>
    </row>
    <row r="110" ht="18.5" customHeight="1" outlineLevel="1" spans="1:21">
      <c r="A110" s="24" t="s">
        <v>2217</v>
      </c>
      <c r="B110" s="25" t="s">
        <v>728</v>
      </c>
      <c r="C110" s="26">
        <f t="shared" si="18"/>
        <v>19</v>
      </c>
      <c r="D110" s="26">
        <v>14</v>
      </c>
      <c r="E110" s="26">
        <v>5</v>
      </c>
      <c r="F110" s="26"/>
      <c r="G110" s="26">
        <f t="shared" si="19"/>
        <v>33</v>
      </c>
      <c r="H110" s="26">
        <f t="shared" si="20"/>
        <v>21</v>
      </c>
      <c r="I110" s="26">
        <v>13</v>
      </c>
      <c r="J110" s="26"/>
      <c r="K110" s="26">
        <v>6</v>
      </c>
      <c r="L110" s="26"/>
      <c r="M110" s="26"/>
      <c r="N110" s="26"/>
      <c r="O110" s="26">
        <v>2</v>
      </c>
      <c r="P110" s="26"/>
      <c r="Q110" s="26">
        <v>12</v>
      </c>
      <c r="R110" s="26">
        <v>1</v>
      </c>
      <c r="S110" s="26"/>
      <c r="T110" s="37"/>
      <c r="U110" s="40"/>
    </row>
    <row r="111" s="6" customFormat="1" ht="18.5" customHeight="1" spans="1:21">
      <c r="A111" s="24" t="s">
        <v>2218</v>
      </c>
      <c r="B111" s="25" t="s">
        <v>729</v>
      </c>
      <c r="C111" s="26">
        <f t="shared" si="18"/>
        <v>5</v>
      </c>
      <c r="D111" s="26"/>
      <c r="E111" s="26">
        <v>5</v>
      </c>
      <c r="F111" s="26"/>
      <c r="G111" s="26">
        <f t="shared" si="19"/>
        <v>50</v>
      </c>
      <c r="H111" s="26">
        <f t="shared" si="20"/>
        <v>10</v>
      </c>
      <c r="I111" s="26"/>
      <c r="J111" s="26"/>
      <c r="K111" s="26">
        <v>10</v>
      </c>
      <c r="L111" s="26"/>
      <c r="M111" s="26"/>
      <c r="N111" s="26"/>
      <c r="O111" s="26"/>
      <c r="P111" s="26">
        <v>1</v>
      </c>
      <c r="Q111" s="26">
        <v>39</v>
      </c>
      <c r="R111" s="26">
        <v>1</v>
      </c>
      <c r="S111" s="26"/>
      <c r="T111" s="37"/>
      <c r="U111" s="40" t="s">
        <v>2711</v>
      </c>
    </row>
    <row r="112" ht="18.5" customHeight="1" outlineLevel="1" spans="1:21">
      <c r="A112" s="24" t="s">
        <v>2219</v>
      </c>
      <c r="B112" s="25" t="s">
        <v>730</v>
      </c>
      <c r="C112" s="26">
        <f t="shared" si="18"/>
        <v>18</v>
      </c>
      <c r="D112" s="26"/>
      <c r="E112" s="26">
        <v>18</v>
      </c>
      <c r="F112" s="26"/>
      <c r="G112" s="26">
        <f t="shared" si="19"/>
        <v>53</v>
      </c>
      <c r="H112" s="26">
        <f t="shared" si="20"/>
        <v>41</v>
      </c>
      <c r="I112" s="26"/>
      <c r="J112" s="26"/>
      <c r="K112" s="26"/>
      <c r="L112" s="26"/>
      <c r="M112" s="26">
        <v>41</v>
      </c>
      <c r="N112" s="26"/>
      <c r="O112" s="26"/>
      <c r="P112" s="26"/>
      <c r="Q112" s="26">
        <v>12</v>
      </c>
      <c r="R112" s="26"/>
      <c r="S112" s="26"/>
      <c r="T112" s="37"/>
      <c r="U112" s="40" t="s">
        <v>2727</v>
      </c>
    </row>
    <row r="113" ht="18.5" customHeight="1" outlineLevel="1" spans="1:21">
      <c r="A113" s="24" t="s">
        <v>2220</v>
      </c>
      <c r="B113" s="25" t="s">
        <v>731</v>
      </c>
      <c r="C113" s="26">
        <f t="shared" si="18"/>
        <v>16</v>
      </c>
      <c r="D113" s="26"/>
      <c r="E113" s="26">
        <v>16</v>
      </c>
      <c r="F113" s="26"/>
      <c r="G113" s="26">
        <f t="shared" si="19"/>
        <v>46</v>
      </c>
      <c r="H113" s="26">
        <f t="shared" si="20"/>
        <v>15</v>
      </c>
      <c r="I113" s="26"/>
      <c r="J113" s="26">
        <v>15</v>
      </c>
      <c r="K113" s="26"/>
      <c r="L113" s="26"/>
      <c r="M113" s="26"/>
      <c r="N113" s="26"/>
      <c r="O113" s="26"/>
      <c r="P113" s="26">
        <v>1</v>
      </c>
      <c r="Q113" s="26">
        <v>30</v>
      </c>
      <c r="R113" s="26">
        <v>1</v>
      </c>
      <c r="S113" s="26"/>
      <c r="T113" s="37"/>
      <c r="U113" s="40"/>
    </row>
    <row r="114" ht="18.5" customHeight="1" outlineLevel="1" spans="1:21">
      <c r="A114" s="24" t="s">
        <v>2221</v>
      </c>
      <c r="B114" s="25" t="s">
        <v>732</v>
      </c>
      <c r="C114" s="26">
        <f t="shared" si="18"/>
        <v>39</v>
      </c>
      <c r="D114" s="26"/>
      <c r="E114" s="26">
        <v>39</v>
      </c>
      <c r="F114" s="26"/>
      <c r="G114" s="26">
        <f t="shared" si="19"/>
        <v>33</v>
      </c>
      <c r="H114" s="26">
        <f t="shared" si="20"/>
        <v>33</v>
      </c>
      <c r="I114" s="26"/>
      <c r="J114" s="26"/>
      <c r="K114" s="26">
        <v>33</v>
      </c>
      <c r="L114" s="26"/>
      <c r="M114" s="26"/>
      <c r="N114" s="26"/>
      <c r="O114" s="26"/>
      <c r="P114" s="26"/>
      <c r="Q114" s="26"/>
      <c r="R114" s="26"/>
      <c r="S114" s="26"/>
      <c r="T114" s="37"/>
      <c r="U114" s="40" t="s">
        <v>2711</v>
      </c>
    </row>
    <row r="115" ht="18.5" customHeight="1" outlineLevel="1" spans="1:21">
      <c r="A115" s="24" t="s">
        <v>2222</v>
      </c>
      <c r="B115" s="25" t="s">
        <v>733</v>
      </c>
      <c r="C115" s="26">
        <f t="shared" si="18"/>
        <v>36</v>
      </c>
      <c r="D115" s="26"/>
      <c r="E115" s="26">
        <v>36</v>
      </c>
      <c r="F115" s="26"/>
      <c r="G115" s="26">
        <f t="shared" si="19"/>
        <v>40</v>
      </c>
      <c r="H115" s="26">
        <f t="shared" si="20"/>
        <v>32</v>
      </c>
      <c r="I115" s="26"/>
      <c r="J115" s="26"/>
      <c r="K115" s="26">
        <v>32</v>
      </c>
      <c r="L115" s="26"/>
      <c r="M115" s="26"/>
      <c r="N115" s="26"/>
      <c r="O115" s="26"/>
      <c r="P115" s="26"/>
      <c r="Q115" s="26">
        <v>8</v>
      </c>
      <c r="R115" s="26"/>
      <c r="S115" s="26"/>
      <c r="T115" s="37"/>
      <c r="U115" s="40" t="s">
        <v>2711</v>
      </c>
    </row>
    <row r="116" ht="18.5" customHeight="1" outlineLevel="1" spans="1:21">
      <c r="A116" s="24" t="s">
        <v>2223</v>
      </c>
      <c r="B116" s="25" t="s">
        <v>734</v>
      </c>
      <c r="C116" s="26">
        <f t="shared" si="18"/>
        <v>25</v>
      </c>
      <c r="D116" s="26">
        <v>15</v>
      </c>
      <c r="E116" s="26">
        <v>10</v>
      </c>
      <c r="F116" s="26"/>
      <c r="G116" s="26">
        <f t="shared" si="19"/>
        <v>44</v>
      </c>
      <c r="H116" s="26">
        <f t="shared" si="20"/>
        <v>24</v>
      </c>
      <c r="I116" s="26">
        <v>13</v>
      </c>
      <c r="J116" s="26"/>
      <c r="K116" s="26">
        <v>10</v>
      </c>
      <c r="L116" s="26"/>
      <c r="M116" s="26"/>
      <c r="N116" s="26"/>
      <c r="O116" s="26">
        <v>1</v>
      </c>
      <c r="P116" s="26"/>
      <c r="Q116" s="26">
        <v>20</v>
      </c>
      <c r="R116" s="26"/>
      <c r="S116" s="26"/>
      <c r="T116" s="37"/>
      <c r="U116" s="40"/>
    </row>
    <row r="117" ht="18.5" customHeight="1" outlineLevel="1" spans="1:21">
      <c r="A117" s="24" t="s">
        <v>2224</v>
      </c>
      <c r="B117" s="25" t="s">
        <v>735</v>
      </c>
      <c r="C117" s="26">
        <f t="shared" si="18"/>
        <v>15</v>
      </c>
      <c r="D117" s="26"/>
      <c r="E117" s="26">
        <v>15</v>
      </c>
      <c r="F117" s="26"/>
      <c r="G117" s="26">
        <f t="shared" si="19"/>
        <v>72</v>
      </c>
      <c r="H117" s="26">
        <f t="shared" si="20"/>
        <v>11</v>
      </c>
      <c r="I117" s="26"/>
      <c r="J117" s="26"/>
      <c r="K117" s="26">
        <v>11</v>
      </c>
      <c r="L117" s="26"/>
      <c r="M117" s="26"/>
      <c r="N117" s="26"/>
      <c r="O117" s="26"/>
      <c r="P117" s="26"/>
      <c r="Q117" s="26">
        <v>61</v>
      </c>
      <c r="R117" s="26">
        <v>3</v>
      </c>
      <c r="S117" s="26"/>
      <c r="T117" s="37"/>
      <c r="U117" s="40" t="s">
        <v>2711</v>
      </c>
    </row>
    <row r="118" ht="18.5" customHeight="1" outlineLevel="1" spans="1:21">
      <c r="A118" s="21"/>
      <c r="B118" s="27" t="s">
        <v>736</v>
      </c>
      <c r="C118" s="28">
        <f t="shared" ref="C118:S118" si="22">SUM(C119:C185)</f>
        <v>7740</v>
      </c>
      <c r="D118" s="28">
        <f t="shared" si="22"/>
        <v>70</v>
      </c>
      <c r="E118" s="28">
        <f t="shared" si="22"/>
        <v>7670</v>
      </c>
      <c r="F118" s="28">
        <f t="shared" si="22"/>
        <v>0</v>
      </c>
      <c r="G118" s="28">
        <f t="shared" si="22"/>
        <v>11922</v>
      </c>
      <c r="H118" s="28">
        <f t="shared" si="22"/>
        <v>7219</v>
      </c>
      <c r="I118" s="28">
        <f t="shared" si="22"/>
        <v>70</v>
      </c>
      <c r="J118" s="28">
        <f t="shared" si="22"/>
        <v>18</v>
      </c>
      <c r="K118" s="28">
        <f t="shared" si="22"/>
        <v>5957</v>
      </c>
      <c r="L118" s="28">
        <f t="shared" si="22"/>
        <v>1168</v>
      </c>
      <c r="M118" s="28">
        <f t="shared" si="22"/>
        <v>0</v>
      </c>
      <c r="N118" s="28">
        <f t="shared" si="22"/>
        <v>1</v>
      </c>
      <c r="O118" s="28">
        <f t="shared" si="22"/>
        <v>5</v>
      </c>
      <c r="P118" s="28">
        <f t="shared" si="22"/>
        <v>6</v>
      </c>
      <c r="Q118" s="28">
        <f t="shared" si="22"/>
        <v>4697</v>
      </c>
      <c r="R118" s="28">
        <f t="shared" si="22"/>
        <v>764</v>
      </c>
      <c r="S118" s="28">
        <f t="shared" si="22"/>
        <v>105</v>
      </c>
      <c r="T118" s="35"/>
      <c r="U118" s="41" t="s">
        <v>2708</v>
      </c>
    </row>
    <row r="119" ht="18.5" customHeight="1" outlineLevel="1" spans="1:21">
      <c r="A119" s="24" t="s">
        <v>1087</v>
      </c>
      <c r="B119" s="25" t="s">
        <v>737</v>
      </c>
      <c r="C119" s="26">
        <f t="shared" ref="C119:C182" si="23">SUM(D119:E119)</f>
        <v>18</v>
      </c>
      <c r="D119" s="29">
        <v>11</v>
      </c>
      <c r="E119" s="29">
        <v>7</v>
      </c>
      <c r="F119" s="29"/>
      <c r="G119" s="26">
        <f t="shared" ref="G119:G182" si="24">SUM(P119,Q119,H119)</f>
        <v>33</v>
      </c>
      <c r="H119" s="26">
        <f t="shared" ref="H119:H182" si="25">SUM(I119:O119)</f>
        <v>16</v>
      </c>
      <c r="I119" s="29">
        <v>10</v>
      </c>
      <c r="J119" s="29"/>
      <c r="K119" s="29">
        <v>4</v>
      </c>
      <c r="L119" s="29"/>
      <c r="M119" s="29"/>
      <c r="N119" s="29"/>
      <c r="O119" s="29">
        <v>2</v>
      </c>
      <c r="P119" s="29"/>
      <c r="Q119" s="29">
        <v>17</v>
      </c>
      <c r="R119" s="29"/>
      <c r="S119" s="29"/>
      <c r="T119" s="42"/>
      <c r="U119" s="40"/>
    </row>
    <row r="120" s="8" customFormat="1" ht="18.5" customHeight="1" spans="1:21">
      <c r="A120" s="24" t="s">
        <v>1088</v>
      </c>
      <c r="B120" s="25" t="s">
        <v>738</v>
      </c>
      <c r="C120" s="26">
        <f t="shared" si="23"/>
        <v>19</v>
      </c>
      <c r="D120" s="29">
        <v>17</v>
      </c>
      <c r="E120" s="29">
        <v>2</v>
      </c>
      <c r="F120" s="29"/>
      <c r="G120" s="26">
        <f t="shared" si="24"/>
        <v>53</v>
      </c>
      <c r="H120" s="26">
        <f t="shared" si="25"/>
        <v>20</v>
      </c>
      <c r="I120" s="29">
        <v>17</v>
      </c>
      <c r="J120" s="29"/>
      <c r="K120" s="29">
        <v>2</v>
      </c>
      <c r="L120" s="29"/>
      <c r="M120" s="29"/>
      <c r="N120" s="29"/>
      <c r="O120" s="29">
        <v>1</v>
      </c>
      <c r="P120" s="29"/>
      <c r="Q120" s="29">
        <v>33</v>
      </c>
      <c r="R120" s="29">
        <v>1</v>
      </c>
      <c r="S120" s="29"/>
      <c r="T120" s="42"/>
      <c r="U120" s="40"/>
    </row>
    <row r="121" ht="18.5" customHeight="1" outlineLevel="1" spans="1:21">
      <c r="A121" s="24" t="s">
        <v>1089</v>
      </c>
      <c r="B121" s="25" t="s">
        <v>739</v>
      </c>
      <c r="C121" s="26">
        <f t="shared" si="23"/>
        <v>21</v>
      </c>
      <c r="D121" s="29"/>
      <c r="E121" s="29">
        <v>21</v>
      </c>
      <c r="F121" s="29"/>
      <c r="G121" s="26">
        <f t="shared" si="24"/>
        <v>23</v>
      </c>
      <c r="H121" s="26">
        <f t="shared" si="25"/>
        <v>19</v>
      </c>
      <c r="I121" s="29"/>
      <c r="J121" s="29"/>
      <c r="K121" s="29">
        <v>19</v>
      </c>
      <c r="L121" s="29"/>
      <c r="M121" s="29"/>
      <c r="N121" s="29"/>
      <c r="O121" s="29"/>
      <c r="P121" s="29"/>
      <c r="Q121" s="29">
        <v>4</v>
      </c>
      <c r="R121" s="29"/>
      <c r="S121" s="29"/>
      <c r="T121" s="42"/>
      <c r="U121" s="40"/>
    </row>
    <row r="122" ht="18.5" customHeight="1" outlineLevel="1" spans="1:21">
      <c r="A122" s="24" t="s">
        <v>1091</v>
      </c>
      <c r="B122" s="25" t="s">
        <v>740</v>
      </c>
      <c r="C122" s="26">
        <f t="shared" si="23"/>
        <v>21</v>
      </c>
      <c r="D122" s="29"/>
      <c r="E122" s="29">
        <v>21</v>
      </c>
      <c r="F122" s="29"/>
      <c r="G122" s="26">
        <f t="shared" si="24"/>
        <v>31</v>
      </c>
      <c r="H122" s="26">
        <f t="shared" si="25"/>
        <v>20</v>
      </c>
      <c r="I122" s="29"/>
      <c r="J122" s="29"/>
      <c r="K122" s="29">
        <v>20</v>
      </c>
      <c r="L122" s="29"/>
      <c r="M122" s="29"/>
      <c r="N122" s="29"/>
      <c r="O122" s="29"/>
      <c r="P122" s="29"/>
      <c r="Q122" s="29">
        <v>11</v>
      </c>
      <c r="R122" s="29"/>
      <c r="S122" s="29"/>
      <c r="T122" s="42"/>
      <c r="U122" s="40"/>
    </row>
    <row r="123" ht="18.5" customHeight="1" outlineLevel="1" spans="1:21">
      <c r="A123" s="24" t="s">
        <v>1092</v>
      </c>
      <c r="B123" s="25" t="s">
        <v>741</v>
      </c>
      <c r="C123" s="26">
        <f t="shared" si="23"/>
        <v>8</v>
      </c>
      <c r="D123" s="29"/>
      <c r="E123" s="29">
        <v>8</v>
      </c>
      <c r="F123" s="29"/>
      <c r="G123" s="26">
        <f t="shared" si="24"/>
        <v>10</v>
      </c>
      <c r="H123" s="26">
        <f t="shared" si="25"/>
        <v>7</v>
      </c>
      <c r="I123" s="29"/>
      <c r="J123" s="29"/>
      <c r="K123" s="29"/>
      <c r="L123" s="29">
        <v>7</v>
      </c>
      <c r="M123" s="29"/>
      <c r="N123" s="29"/>
      <c r="O123" s="29"/>
      <c r="P123" s="29"/>
      <c r="Q123" s="29">
        <v>3</v>
      </c>
      <c r="R123" s="29"/>
      <c r="S123" s="29"/>
      <c r="T123" s="42"/>
      <c r="U123" s="40"/>
    </row>
    <row r="124" s="7" customFormat="1" ht="18.5" customHeight="1" outlineLevel="1" spans="1:21">
      <c r="A124" s="24" t="s">
        <v>1093</v>
      </c>
      <c r="B124" s="25" t="s">
        <v>742</v>
      </c>
      <c r="C124" s="26">
        <f t="shared" si="23"/>
        <v>15</v>
      </c>
      <c r="D124" s="29"/>
      <c r="E124" s="29">
        <v>15</v>
      </c>
      <c r="F124" s="29"/>
      <c r="G124" s="26">
        <f t="shared" si="24"/>
        <v>31</v>
      </c>
      <c r="H124" s="26">
        <f t="shared" si="25"/>
        <v>15</v>
      </c>
      <c r="I124" s="29"/>
      <c r="J124" s="29"/>
      <c r="K124" s="29">
        <v>15</v>
      </c>
      <c r="L124" s="29"/>
      <c r="M124" s="29"/>
      <c r="N124" s="29"/>
      <c r="O124" s="29"/>
      <c r="P124" s="29"/>
      <c r="Q124" s="29">
        <v>16</v>
      </c>
      <c r="R124" s="29"/>
      <c r="S124" s="29"/>
      <c r="T124" s="42"/>
      <c r="U124" s="40"/>
    </row>
    <row r="125" ht="18.5" customHeight="1" outlineLevel="1" spans="1:21">
      <c r="A125" s="24" t="s">
        <v>1094</v>
      </c>
      <c r="B125" s="25" t="s">
        <v>743</v>
      </c>
      <c r="C125" s="26">
        <f t="shared" si="23"/>
        <v>43</v>
      </c>
      <c r="D125" s="29"/>
      <c r="E125" s="29">
        <v>43</v>
      </c>
      <c r="F125" s="29"/>
      <c r="G125" s="26">
        <f t="shared" si="24"/>
        <v>68</v>
      </c>
      <c r="H125" s="26">
        <f t="shared" si="25"/>
        <v>35</v>
      </c>
      <c r="I125" s="29"/>
      <c r="J125" s="29"/>
      <c r="K125" s="29"/>
      <c r="L125" s="29">
        <v>35</v>
      </c>
      <c r="M125" s="29"/>
      <c r="N125" s="29"/>
      <c r="O125" s="29"/>
      <c r="P125" s="29"/>
      <c r="Q125" s="29">
        <v>33</v>
      </c>
      <c r="R125" s="29">
        <v>3</v>
      </c>
      <c r="S125" s="29"/>
      <c r="T125" s="42"/>
      <c r="U125" s="40" t="s">
        <v>2729</v>
      </c>
    </row>
    <row r="126" ht="18.5" customHeight="1" outlineLevel="1" spans="1:21">
      <c r="A126" s="24" t="s">
        <v>1095</v>
      </c>
      <c r="B126" s="25" t="s">
        <v>744</v>
      </c>
      <c r="C126" s="26">
        <f t="shared" si="23"/>
        <v>8</v>
      </c>
      <c r="D126" s="29"/>
      <c r="E126" s="29">
        <v>8</v>
      </c>
      <c r="F126" s="29"/>
      <c r="G126" s="26">
        <f t="shared" si="24"/>
        <v>14</v>
      </c>
      <c r="H126" s="26">
        <f t="shared" si="25"/>
        <v>8</v>
      </c>
      <c r="I126" s="29"/>
      <c r="J126" s="29"/>
      <c r="K126" s="29">
        <v>8</v>
      </c>
      <c r="L126" s="29"/>
      <c r="M126" s="29"/>
      <c r="N126" s="29"/>
      <c r="O126" s="29"/>
      <c r="P126" s="29"/>
      <c r="Q126" s="29">
        <v>6</v>
      </c>
      <c r="R126" s="29"/>
      <c r="S126" s="29"/>
      <c r="T126" s="42"/>
      <c r="U126" s="40"/>
    </row>
    <row r="127" ht="18.5" customHeight="1" outlineLevel="1" spans="1:21">
      <c r="A127" s="24" t="s">
        <v>1096</v>
      </c>
      <c r="B127" s="25" t="s">
        <v>745</v>
      </c>
      <c r="C127" s="26">
        <f t="shared" si="23"/>
        <v>15</v>
      </c>
      <c r="D127" s="29"/>
      <c r="E127" s="29">
        <v>15</v>
      </c>
      <c r="F127" s="29"/>
      <c r="G127" s="26">
        <f t="shared" si="24"/>
        <v>18</v>
      </c>
      <c r="H127" s="26">
        <f t="shared" si="25"/>
        <v>16</v>
      </c>
      <c r="I127" s="29"/>
      <c r="J127" s="29"/>
      <c r="K127" s="29">
        <v>16</v>
      </c>
      <c r="L127" s="29"/>
      <c r="M127" s="29"/>
      <c r="N127" s="29"/>
      <c r="O127" s="29"/>
      <c r="P127" s="29"/>
      <c r="Q127" s="29">
        <v>2</v>
      </c>
      <c r="R127" s="29"/>
      <c r="S127" s="29"/>
      <c r="T127" s="42"/>
      <c r="U127" s="40"/>
    </row>
    <row r="128" ht="18.5" customHeight="1" outlineLevel="1" spans="1:21">
      <c r="A128" s="24" t="s">
        <v>1097</v>
      </c>
      <c r="B128" s="25" t="s">
        <v>746</v>
      </c>
      <c r="C128" s="26">
        <f t="shared" si="23"/>
        <v>94</v>
      </c>
      <c r="D128" s="29"/>
      <c r="E128" s="29">
        <v>94</v>
      </c>
      <c r="F128" s="29"/>
      <c r="G128" s="26">
        <f t="shared" si="24"/>
        <v>131</v>
      </c>
      <c r="H128" s="26">
        <f t="shared" si="25"/>
        <v>88</v>
      </c>
      <c r="I128" s="29"/>
      <c r="J128" s="29"/>
      <c r="K128" s="29">
        <v>88</v>
      </c>
      <c r="L128" s="29"/>
      <c r="M128" s="29"/>
      <c r="N128" s="29"/>
      <c r="O128" s="29"/>
      <c r="P128" s="29"/>
      <c r="Q128" s="29">
        <v>43</v>
      </c>
      <c r="R128" s="29">
        <v>1</v>
      </c>
      <c r="S128" s="29"/>
      <c r="T128" s="42"/>
      <c r="U128" s="40"/>
    </row>
    <row r="129" ht="18.5" customHeight="1" outlineLevel="1" spans="1:21">
      <c r="A129" s="24" t="s">
        <v>1098</v>
      </c>
      <c r="B129" s="25" t="s">
        <v>747</v>
      </c>
      <c r="C129" s="26">
        <f t="shared" si="23"/>
        <v>21</v>
      </c>
      <c r="D129" s="29">
        <v>21</v>
      </c>
      <c r="E129" s="29"/>
      <c r="F129" s="29"/>
      <c r="G129" s="26">
        <f t="shared" si="24"/>
        <v>42</v>
      </c>
      <c r="H129" s="26">
        <f t="shared" si="25"/>
        <v>18</v>
      </c>
      <c r="I129" s="29">
        <v>18</v>
      </c>
      <c r="J129" s="29"/>
      <c r="K129" s="29"/>
      <c r="L129" s="29"/>
      <c r="M129" s="29"/>
      <c r="N129" s="29"/>
      <c r="O129" s="29"/>
      <c r="P129" s="29"/>
      <c r="Q129" s="29">
        <v>24</v>
      </c>
      <c r="R129" s="29">
        <v>1</v>
      </c>
      <c r="S129" s="29"/>
      <c r="T129" s="42"/>
      <c r="U129" s="40" t="s">
        <v>2730</v>
      </c>
    </row>
    <row r="130" ht="18.5" customHeight="1" outlineLevel="1" spans="1:21">
      <c r="A130" s="24" t="s">
        <v>1099</v>
      </c>
      <c r="B130" s="25" t="s">
        <v>748</v>
      </c>
      <c r="C130" s="26">
        <f t="shared" si="23"/>
        <v>12</v>
      </c>
      <c r="D130" s="29"/>
      <c r="E130" s="29">
        <v>12</v>
      </c>
      <c r="F130" s="29"/>
      <c r="G130" s="26">
        <f t="shared" si="24"/>
        <v>22</v>
      </c>
      <c r="H130" s="26">
        <f t="shared" si="25"/>
        <v>8</v>
      </c>
      <c r="I130" s="29"/>
      <c r="J130" s="29"/>
      <c r="K130" s="29">
        <v>8</v>
      </c>
      <c r="L130" s="29"/>
      <c r="M130" s="29"/>
      <c r="N130" s="29"/>
      <c r="O130" s="29"/>
      <c r="P130" s="29"/>
      <c r="Q130" s="29">
        <v>14</v>
      </c>
      <c r="R130" s="29">
        <v>1</v>
      </c>
      <c r="S130" s="29"/>
      <c r="T130" s="42"/>
      <c r="U130" s="40" t="s">
        <v>2731</v>
      </c>
    </row>
    <row r="131" ht="18.5" customHeight="1" outlineLevel="1" spans="1:21">
      <c r="A131" s="24" t="s">
        <v>1100</v>
      </c>
      <c r="B131" s="25" t="s">
        <v>2225</v>
      </c>
      <c r="C131" s="26">
        <f t="shared" si="23"/>
        <v>12</v>
      </c>
      <c r="D131" s="29"/>
      <c r="E131" s="29">
        <v>12</v>
      </c>
      <c r="F131" s="29"/>
      <c r="G131" s="26">
        <f t="shared" si="24"/>
        <v>17</v>
      </c>
      <c r="H131" s="26">
        <f t="shared" si="25"/>
        <v>6</v>
      </c>
      <c r="I131" s="29"/>
      <c r="J131" s="29"/>
      <c r="K131" s="29">
        <v>6</v>
      </c>
      <c r="L131" s="29"/>
      <c r="M131" s="29"/>
      <c r="N131" s="29"/>
      <c r="O131" s="29"/>
      <c r="P131" s="29"/>
      <c r="Q131" s="29">
        <v>11</v>
      </c>
      <c r="R131" s="29"/>
      <c r="S131" s="29"/>
      <c r="T131" s="42"/>
      <c r="U131" s="40" t="s">
        <v>2731</v>
      </c>
    </row>
    <row r="132" ht="18.5" customHeight="1" outlineLevel="1" spans="1:21">
      <c r="A132" s="24" t="s">
        <v>1101</v>
      </c>
      <c r="B132" s="25" t="s">
        <v>2226</v>
      </c>
      <c r="C132" s="26">
        <f t="shared" si="23"/>
        <v>29</v>
      </c>
      <c r="D132" s="29"/>
      <c r="E132" s="29">
        <v>29</v>
      </c>
      <c r="F132" s="29"/>
      <c r="G132" s="26">
        <f t="shared" si="24"/>
        <v>51</v>
      </c>
      <c r="H132" s="26">
        <f t="shared" si="25"/>
        <v>25</v>
      </c>
      <c r="I132" s="29"/>
      <c r="J132" s="29"/>
      <c r="K132" s="29">
        <v>25</v>
      </c>
      <c r="L132" s="29"/>
      <c r="M132" s="29"/>
      <c r="N132" s="29"/>
      <c r="O132" s="29"/>
      <c r="P132" s="29"/>
      <c r="Q132" s="29">
        <v>26</v>
      </c>
      <c r="R132" s="29"/>
      <c r="S132" s="29"/>
      <c r="T132" s="42"/>
      <c r="U132" s="40" t="s">
        <v>2731</v>
      </c>
    </row>
    <row r="133" ht="18.5" customHeight="1" outlineLevel="1" spans="1:21">
      <c r="A133" s="24" t="s">
        <v>1102</v>
      </c>
      <c r="B133" s="25" t="s">
        <v>2227</v>
      </c>
      <c r="C133" s="26">
        <f t="shared" si="23"/>
        <v>15</v>
      </c>
      <c r="D133" s="29"/>
      <c r="E133" s="29">
        <v>15</v>
      </c>
      <c r="F133" s="29"/>
      <c r="G133" s="26">
        <f t="shared" si="24"/>
        <v>37</v>
      </c>
      <c r="H133" s="26">
        <f t="shared" si="25"/>
        <v>11</v>
      </c>
      <c r="I133" s="29"/>
      <c r="J133" s="29"/>
      <c r="K133" s="29">
        <v>11</v>
      </c>
      <c r="L133" s="29"/>
      <c r="M133" s="29"/>
      <c r="N133" s="29"/>
      <c r="O133" s="29"/>
      <c r="P133" s="29"/>
      <c r="Q133" s="29">
        <v>26</v>
      </c>
      <c r="R133" s="29">
        <v>1</v>
      </c>
      <c r="S133" s="29"/>
      <c r="T133" s="42"/>
      <c r="U133" s="40" t="s">
        <v>2731</v>
      </c>
    </row>
    <row r="134" s="7" customFormat="1" ht="18.5" customHeight="1" outlineLevel="1" spans="1:21">
      <c r="A134" s="24" t="s">
        <v>1103</v>
      </c>
      <c r="B134" s="25" t="s">
        <v>752</v>
      </c>
      <c r="C134" s="26">
        <f t="shared" si="23"/>
        <v>11</v>
      </c>
      <c r="D134" s="29"/>
      <c r="E134" s="29">
        <v>11</v>
      </c>
      <c r="F134" s="29"/>
      <c r="G134" s="26">
        <f t="shared" si="24"/>
        <v>7</v>
      </c>
      <c r="H134" s="26">
        <f t="shared" si="25"/>
        <v>6</v>
      </c>
      <c r="I134" s="29"/>
      <c r="J134" s="29"/>
      <c r="K134" s="29">
        <v>6</v>
      </c>
      <c r="L134" s="29"/>
      <c r="M134" s="29"/>
      <c r="N134" s="29"/>
      <c r="O134" s="29"/>
      <c r="P134" s="29"/>
      <c r="Q134" s="29">
        <v>1</v>
      </c>
      <c r="R134" s="29"/>
      <c r="S134" s="29"/>
      <c r="T134" s="42"/>
      <c r="U134" s="40" t="s">
        <v>2730</v>
      </c>
    </row>
    <row r="135" ht="18.5" customHeight="1" outlineLevel="1" spans="1:21">
      <c r="A135" s="24" t="s">
        <v>1104</v>
      </c>
      <c r="B135" s="25" t="s">
        <v>753</v>
      </c>
      <c r="C135" s="26">
        <f t="shared" si="23"/>
        <v>92</v>
      </c>
      <c r="D135" s="29"/>
      <c r="E135" s="29">
        <v>92</v>
      </c>
      <c r="F135" s="29"/>
      <c r="G135" s="26">
        <f t="shared" si="24"/>
        <v>107</v>
      </c>
      <c r="H135" s="26">
        <f t="shared" si="25"/>
        <v>85</v>
      </c>
      <c r="I135" s="29"/>
      <c r="J135" s="29"/>
      <c r="K135" s="29"/>
      <c r="L135" s="29">
        <v>85</v>
      </c>
      <c r="M135" s="29"/>
      <c r="N135" s="29"/>
      <c r="O135" s="29"/>
      <c r="P135" s="29"/>
      <c r="Q135" s="29">
        <v>22</v>
      </c>
      <c r="R135" s="29"/>
      <c r="S135" s="29">
        <v>83</v>
      </c>
      <c r="T135" s="42"/>
      <c r="U135" s="40" t="s">
        <v>2732</v>
      </c>
    </row>
    <row r="136" ht="18.5" customHeight="1" outlineLevel="1" spans="1:21">
      <c r="A136" s="24" t="s">
        <v>1105</v>
      </c>
      <c r="B136" s="25" t="s">
        <v>754</v>
      </c>
      <c r="C136" s="26">
        <f t="shared" si="23"/>
        <v>44</v>
      </c>
      <c r="D136" s="29"/>
      <c r="E136" s="29">
        <v>44</v>
      </c>
      <c r="F136" s="29"/>
      <c r="G136" s="26">
        <f t="shared" si="24"/>
        <v>70</v>
      </c>
      <c r="H136" s="26">
        <f t="shared" si="25"/>
        <v>38</v>
      </c>
      <c r="I136" s="29"/>
      <c r="J136" s="29"/>
      <c r="K136" s="29"/>
      <c r="L136" s="29">
        <v>38</v>
      </c>
      <c r="M136" s="29"/>
      <c r="N136" s="29"/>
      <c r="O136" s="29"/>
      <c r="P136" s="29"/>
      <c r="Q136" s="29">
        <v>32</v>
      </c>
      <c r="R136" s="29">
        <v>5</v>
      </c>
      <c r="S136" s="29"/>
      <c r="T136" s="42"/>
      <c r="U136" s="40" t="s">
        <v>2733</v>
      </c>
    </row>
    <row r="137" ht="18.5" customHeight="1" outlineLevel="1" spans="1:21">
      <c r="A137" s="24" t="s">
        <v>1107</v>
      </c>
      <c r="B137" s="25" t="s">
        <v>755</v>
      </c>
      <c r="C137" s="26">
        <f t="shared" si="23"/>
        <v>127</v>
      </c>
      <c r="D137" s="29"/>
      <c r="E137" s="29">
        <v>127</v>
      </c>
      <c r="F137" s="29"/>
      <c r="G137" s="26">
        <f t="shared" si="24"/>
        <v>195</v>
      </c>
      <c r="H137" s="26">
        <f t="shared" si="25"/>
        <v>110</v>
      </c>
      <c r="I137" s="29"/>
      <c r="J137" s="29"/>
      <c r="K137" s="29">
        <v>110</v>
      </c>
      <c r="L137" s="29"/>
      <c r="M137" s="29"/>
      <c r="N137" s="29"/>
      <c r="O137" s="29"/>
      <c r="P137" s="29"/>
      <c r="Q137" s="29">
        <v>85</v>
      </c>
      <c r="R137" s="29">
        <v>5</v>
      </c>
      <c r="S137" s="29"/>
      <c r="T137" s="42"/>
      <c r="U137" s="40" t="s">
        <v>2734</v>
      </c>
    </row>
    <row r="138" ht="18.5" customHeight="1" outlineLevel="1" spans="1:21">
      <c r="A138" s="24" t="s">
        <v>1108</v>
      </c>
      <c r="B138" s="25" t="s">
        <v>756</v>
      </c>
      <c r="C138" s="26">
        <f t="shared" si="23"/>
        <v>188</v>
      </c>
      <c r="D138" s="29"/>
      <c r="E138" s="29">
        <v>188</v>
      </c>
      <c r="F138" s="29"/>
      <c r="G138" s="26">
        <f t="shared" si="24"/>
        <v>287</v>
      </c>
      <c r="H138" s="26">
        <f t="shared" si="25"/>
        <v>176</v>
      </c>
      <c r="I138" s="29"/>
      <c r="J138" s="29"/>
      <c r="K138" s="29">
        <v>176</v>
      </c>
      <c r="L138" s="29"/>
      <c r="M138" s="29"/>
      <c r="N138" s="29"/>
      <c r="O138" s="29"/>
      <c r="P138" s="29"/>
      <c r="Q138" s="29">
        <v>111</v>
      </c>
      <c r="R138" s="29">
        <v>2</v>
      </c>
      <c r="S138" s="29"/>
      <c r="T138" s="42"/>
      <c r="U138" s="40" t="s">
        <v>2734</v>
      </c>
    </row>
    <row r="139" ht="18.5" customHeight="1" outlineLevel="1" spans="1:21">
      <c r="A139" s="24" t="s">
        <v>1109</v>
      </c>
      <c r="B139" s="25" t="s">
        <v>757</v>
      </c>
      <c r="C139" s="26">
        <f t="shared" si="23"/>
        <v>107</v>
      </c>
      <c r="D139" s="29"/>
      <c r="E139" s="29">
        <v>107</v>
      </c>
      <c r="F139" s="29"/>
      <c r="G139" s="26">
        <f t="shared" si="24"/>
        <v>154</v>
      </c>
      <c r="H139" s="26">
        <f t="shared" si="25"/>
        <v>85</v>
      </c>
      <c r="I139" s="29"/>
      <c r="J139" s="29"/>
      <c r="K139" s="29">
        <v>85</v>
      </c>
      <c r="L139" s="29"/>
      <c r="M139" s="29"/>
      <c r="N139" s="29"/>
      <c r="O139" s="29"/>
      <c r="P139" s="29"/>
      <c r="Q139" s="29">
        <v>69</v>
      </c>
      <c r="R139" s="29">
        <v>2</v>
      </c>
      <c r="S139" s="29"/>
      <c r="T139" s="42"/>
      <c r="U139" s="40" t="s">
        <v>2734</v>
      </c>
    </row>
    <row r="140" s="7" customFormat="1" ht="18.5" customHeight="1" outlineLevel="1" spans="1:21">
      <c r="A140" s="24" t="s">
        <v>1110</v>
      </c>
      <c r="B140" s="25" t="s">
        <v>758</v>
      </c>
      <c r="C140" s="26">
        <f t="shared" si="23"/>
        <v>58</v>
      </c>
      <c r="D140" s="29"/>
      <c r="E140" s="29">
        <v>58</v>
      </c>
      <c r="F140" s="29"/>
      <c r="G140" s="26">
        <f t="shared" si="24"/>
        <v>73</v>
      </c>
      <c r="H140" s="26">
        <f t="shared" si="25"/>
        <v>54</v>
      </c>
      <c r="I140" s="29"/>
      <c r="J140" s="29"/>
      <c r="K140" s="29">
        <v>54</v>
      </c>
      <c r="L140" s="29"/>
      <c r="M140" s="29"/>
      <c r="N140" s="29"/>
      <c r="O140" s="29"/>
      <c r="P140" s="29"/>
      <c r="Q140" s="29">
        <v>19</v>
      </c>
      <c r="R140" s="29">
        <v>2</v>
      </c>
      <c r="S140" s="29"/>
      <c r="T140" s="42"/>
      <c r="U140" s="40" t="s">
        <v>2734</v>
      </c>
    </row>
    <row r="141" ht="18.5" customHeight="1" outlineLevel="1" spans="1:21">
      <c r="A141" s="24" t="s">
        <v>1111</v>
      </c>
      <c r="B141" s="25" t="s">
        <v>759</v>
      </c>
      <c r="C141" s="26">
        <f t="shared" si="23"/>
        <v>123</v>
      </c>
      <c r="D141" s="29"/>
      <c r="E141" s="29">
        <v>123</v>
      </c>
      <c r="F141" s="29"/>
      <c r="G141" s="26">
        <f t="shared" si="24"/>
        <v>145</v>
      </c>
      <c r="H141" s="26">
        <f t="shared" si="25"/>
        <v>105</v>
      </c>
      <c r="I141" s="29"/>
      <c r="J141" s="29"/>
      <c r="K141" s="29">
        <v>105</v>
      </c>
      <c r="L141" s="29"/>
      <c r="M141" s="29"/>
      <c r="N141" s="29"/>
      <c r="O141" s="29"/>
      <c r="P141" s="29"/>
      <c r="Q141" s="29">
        <v>40</v>
      </c>
      <c r="R141" s="29">
        <v>1</v>
      </c>
      <c r="S141" s="29"/>
      <c r="T141" s="42"/>
      <c r="U141" s="40" t="s">
        <v>2734</v>
      </c>
    </row>
    <row r="142" ht="18.5" customHeight="1" outlineLevel="1" spans="1:21">
      <c r="A142" s="24" t="s">
        <v>1112</v>
      </c>
      <c r="B142" s="25" t="s">
        <v>760</v>
      </c>
      <c r="C142" s="26">
        <f t="shared" si="23"/>
        <v>38</v>
      </c>
      <c r="D142" s="29"/>
      <c r="E142" s="29">
        <v>38</v>
      </c>
      <c r="F142" s="29"/>
      <c r="G142" s="26">
        <f t="shared" si="24"/>
        <v>40</v>
      </c>
      <c r="H142" s="26">
        <f t="shared" si="25"/>
        <v>35</v>
      </c>
      <c r="I142" s="29"/>
      <c r="J142" s="29"/>
      <c r="K142" s="29">
        <v>35</v>
      </c>
      <c r="L142" s="29"/>
      <c r="M142" s="29"/>
      <c r="N142" s="29"/>
      <c r="O142" s="29"/>
      <c r="P142" s="29"/>
      <c r="Q142" s="29">
        <v>5</v>
      </c>
      <c r="R142" s="29"/>
      <c r="S142" s="29"/>
      <c r="T142" s="42"/>
      <c r="U142" s="40" t="s">
        <v>2734</v>
      </c>
    </row>
    <row r="143" ht="18.5" customHeight="1" outlineLevel="1" spans="1:21">
      <c r="A143" s="24" t="s">
        <v>1113</v>
      </c>
      <c r="B143" s="25" t="s">
        <v>761</v>
      </c>
      <c r="C143" s="26">
        <f t="shared" si="23"/>
        <v>231</v>
      </c>
      <c r="D143" s="29"/>
      <c r="E143" s="29">
        <v>231</v>
      </c>
      <c r="F143" s="29"/>
      <c r="G143" s="26">
        <f t="shared" si="24"/>
        <v>207</v>
      </c>
      <c r="H143" s="26">
        <f t="shared" si="25"/>
        <v>192</v>
      </c>
      <c r="I143" s="29"/>
      <c r="J143" s="29"/>
      <c r="K143" s="29">
        <v>192</v>
      </c>
      <c r="L143" s="29"/>
      <c r="M143" s="29"/>
      <c r="N143" s="29"/>
      <c r="O143" s="29"/>
      <c r="P143" s="29"/>
      <c r="Q143" s="29">
        <v>15</v>
      </c>
      <c r="R143" s="29">
        <v>3</v>
      </c>
      <c r="S143" s="29"/>
      <c r="T143" s="42"/>
      <c r="U143" s="40" t="s">
        <v>2735</v>
      </c>
    </row>
    <row r="144" ht="18.5" customHeight="1" outlineLevel="1" spans="1:21">
      <c r="A144" s="24" t="s">
        <v>1114</v>
      </c>
      <c r="B144" s="25" t="s">
        <v>762</v>
      </c>
      <c r="C144" s="26">
        <f t="shared" si="23"/>
        <v>273</v>
      </c>
      <c r="D144" s="29"/>
      <c r="E144" s="29">
        <v>273</v>
      </c>
      <c r="F144" s="29"/>
      <c r="G144" s="26">
        <f t="shared" si="24"/>
        <v>389</v>
      </c>
      <c r="H144" s="26">
        <f t="shared" si="25"/>
        <v>232</v>
      </c>
      <c r="I144" s="29"/>
      <c r="J144" s="29"/>
      <c r="K144" s="29">
        <v>232</v>
      </c>
      <c r="L144" s="29"/>
      <c r="M144" s="29"/>
      <c r="N144" s="29"/>
      <c r="O144" s="29"/>
      <c r="P144" s="29"/>
      <c r="Q144" s="29">
        <v>157</v>
      </c>
      <c r="R144" s="29">
        <v>4</v>
      </c>
      <c r="S144" s="29"/>
      <c r="T144" s="42"/>
      <c r="U144" s="40" t="s">
        <v>2734</v>
      </c>
    </row>
    <row r="145" ht="18.5" customHeight="1" outlineLevel="1" spans="1:21">
      <c r="A145" s="24" t="s">
        <v>1115</v>
      </c>
      <c r="B145" s="25" t="s">
        <v>763</v>
      </c>
      <c r="C145" s="26">
        <f t="shared" si="23"/>
        <v>167</v>
      </c>
      <c r="D145" s="29"/>
      <c r="E145" s="29">
        <v>167</v>
      </c>
      <c r="F145" s="29"/>
      <c r="G145" s="26">
        <f t="shared" si="24"/>
        <v>232</v>
      </c>
      <c r="H145" s="26">
        <f t="shared" si="25"/>
        <v>141</v>
      </c>
      <c r="I145" s="29"/>
      <c r="J145" s="29"/>
      <c r="K145" s="29">
        <v>141</v>
      </c>
      <c r="L145" s="29"/>
      <c r="M145" s="29"/>
      <c r="N145" s="29"/>
      <c r="O145" s="29"/>
      <c r="P145" s="29"/>
      <c r="Q145" s="29">
        <v>91</v>
      </c>
      <c r="R145" s="29">
        <v>5</v>
      </c>
      <c r="S145" s="29"/>
      <c r="T145" s="42"/>
      <c r="U145" s="40" t="s">
        <v>2734</v>
      </c>
    </row>
    <row r="146" ht="18.5" customHeight="1" outlineLevel="1" spans="1:21">
      <c r="A146" s="24" t="s">
        <v>1116</v>
      </c>
      <c r="B146" s="25" t="s">
        <v>764</v>
      </c>
      <c r="C146" s="26">
        <f t="shared" si="23"/>
        <v>322</v>
      </c>
      <c r="D146" s="29"/>
      <c r="E146" s="29">
        <v>322</v>
      </c>
      <c r="F146" s="29"/>
      <c r="G146" s="26">
        <f t="shared" si="24"/>
        <v>422</v>
      </c>
      <c r="H146" s="26">
        <f t="shared" si="25"/>
        <v>315</v>
      </c>
      <c r="I146" s="29"/>
      <c r="J146" s="29"/>
      <c r="K146" s="29"/>
      <c r="L146" s="29">
        <v>315</v>
      </c>
      <c r="M146" s="29"/>
      <c r="N146" s="29"/>
      <c r="O146" s="29"/>
      <c r="P146" s="29"/>
      <c r="Q146" s="29">
        <v>107</v>
      </c>
      <c r="R146" s="29">
        <v>9</v>
      </c>
      <c r="S146" s="29"/>
      <c r="T146" s="42"/>
      <c r="U146" s="40" t="s">
        <v>2736</v>
      </c>
    </row>
    <row r="147" ht="18.5" customHeight="1" outlineLevel="1" spans="1:21">
      <c r="A147" s="24" t="s">
        <v>1117</v>
      </c>
      <c r="B147" s="25" t="s">
        <v>765</v>
      </c>
      <c r="C147" s="26">
        <f t="shared" si="23"/>
        <v>340</v>
      </c>
      <c r="D147" s="29"/>
      <c r="E147" s="29">
        <v>340</v>
      </c>
      <c r="F147" s="29"/>
      <c r="G147" s="26">
        <f t="shared" si="24"/>
        <v>416</v>
      </c>
      <c r="H147" s="26">
        <f t="shared" si="25"/>
        <v>302</v>
      </c>
      <c r="I147" s="29"/>
      <c r="J147" s="29"/>
      <c r="K147" s="29"/>
      <c r="L147" s="29">
        <v>302</v>
      </c>
      <c r="M147" s="29"/>
      <c r="N147" s="29"/>
      <c r="O147" s="29"/>
      <c r="P147" s="29"/>
      <c r="Q147" s="29">
        <v>114</v>
      </c>
      <c r="R147" s="29">
        <v>6</v>
      </c>
      <c r="S147" s="29"/>
      <c r="T147" s="42"/>
      <c r="U147" s="40" t="s">
        <v>2736</v>
      </c>
    </row>
    <row r="148" s="7" customFormat="1" ht="18.5" customHeight="1" outlineLevel="1" spans="1:21">
      <c r="A148" s="24" t="s">
        <v>1118</v>
      </c>
      <c r="B148" s="25" t="s">
        <v>766</v>
      </c>
      <c r="C148" s="26">
        <f t="shared" si="23"/>
        <v>286</v>
      </c>
      <c r="D148" s="29"/>
      <c r="E148" s="29">
        <v>286</v>
      </c>
      <c r="F148" s="29"/>
      <c r="G148" s="26">
        <f t="shared" si="24"/>
        <v>359</v>
      </c>
      <c r="H148" s="26">
        <f t="shared" si="25"/>
        <v>237</v>
      </c>
      <c r="I148" s="29"/>
      <c r="J148" s="29"/>
      <c r="K148" s="29"/>
      <c r="L148" s="29">
        <v>237</v>
      </c>
      <c r="M148" s="29"/>
      <c r="N148" s="29"/>
      <c r="O148" s="29"/>
      <c r="P148" s="29"/>
      <c r="Q148" s="29">
        <v>122</v>
      </c>
      <c r="R148" s="29">
        <v>14</v>
      </c>
      <c r="S148" s="29"/>
      <c r="T148" s="42"/>
      <c r="U148" s="40" t="s">
        <v>2736</v>
      </c>
    </row>
    <row r="149" ht="18.5" customHeight="1" outlineLevel="1" spans="1:21">
      <c r="A149" s="24" t="s">
        <v>1119</v>
      </c>
      <c r="B149" s="25" t="s">
        <v>767</v>
      </c>
      <c r="C149" s="26">
        <f t="shared" si="23"/>
        <v>146</v>
      </c>
      <c r="D149" s="29"/>
      <c r="E149" s="29">
        <v>146</v>
      </c>
      <c r="F149" s="29"/>
      <c r="G149" s="26">
        <f t="shared" si="24"/>
        <v>181</v>
      </c>
      <c r="H149" s="26">
        <f t="shared" si="25"/>
        <v>136</v>
      </c>
      <c r="I149" s="29"/>
      <c r="J149" s="29"/>
      <c r="K149" s="29"/>
      <c r="L149" s="29">
        <v>136</v>
      </c>
      <c r="M149" s="29"/>
      <c r="N149" s="29"/>
      <c r="O149" s="29"/>
      <c r="P149" s="29"/>
      <c r="Q149" s="29">
        <v>45</v>
      </c>
      <c r="R149" s="29">
        <v>6</v>
      </c>
      <c r="S149" s="29"/>
      <c r="T149" s="42"/>
      <c r="U149" s="40" t="s">
        <v>2736</v>
      </c>
    </row>
    <row r="150" ht="18.5" customHeight="1" outlineLevel="1" spans="1:21">
      <c r="A150" s="24" t="s">
        <v>1120</v>
      </c>
      <c r="B150" s="25" t="s">
        <v>768</v>
      </c>
      <c r="C150" s="26">
        <f t="shared" si="23"/>
        <v>23</v>
      </c>
      <c r="D150" s="29"/>
      <c r="E150" s="29">
        <v>23</v>
      </c>
      <c r="F150" s="29"/>
      <c r="G150" s="26">
        <f t="shared" si="24"/>
        <v>40</v>
      </c>
      <c r="H150" s="26">
        <f t="shared" si="25"/>
        <v>18</v>
      </c>
      <c r="I150" s="29"/>
      <c r="J150" s="29"/>
      <c r="K150" s="29">
        <v>18</v>
      </c>
      <c r="L150" s="29"/>
      <c r="M150" s="29"/>
      <c r="N150" s="29"/>
      <c r="O150" s="29"/>
      <c r="P150" s="29"/>
      <c r="Q150" s="29">
        <v>22</v>
      </c>
      <c r="R150" s="29">
        <v>4</v>
      </c>
      <c r="S150" s="29"/>
      <c r="T150" s="42"/>
      <c r="U150" s="40" t="s">
        <v>2737</v>
      </c>
    </row>
    <row r="151" ht="18.5" customHeight="1" outlineLevel="1" spans="1:21">
      <c r="A151" s="24" t="s">
        <v>1121</v>
      </c>
      <c r="B151" s="25" t="s">
        <v>769</v>
      </c>
      <c r="C151" s="26">
        <f t="shared" si="23"/>
        <v>11</v>
      </c>
      <c r="D151" s="29"/>
      <c r="E151" s="29">
        <v>11</v>
      </c>
      <c r="F151" s="29"/>
      <c r="G151" s="26">
        <f t="shared" si="24"/>
        <v>93</v>
      </c>
      <c r="H151" s="26">
        <f t="shared" si="25"/>
        <v>50</v>
      </c>
      <c r="I151" s="29"/>
      <c r="J151" s="29"/>
      <c r="K151" s="29">
        <v>50</v>
      </c>
      <c r="L151" s="29"/>
      <c r="M151" s="29"/>
      <c r="N151" s="29"/>
      <c r="O151" s="29"/>
      <c r="P151" s="29"/>
      <c r="Q151" s="29">
        <v>43</v>
      </c>
      <c r="R151" s="29"/>
      <c r="S151" s="29"/>
      <c r="T151" s="42"/>
      <c r="U151" s="40" t="s">
        <v>2737</v>
      </c>
    </row>
    <row r="152" ht="18.5" customHeight="1" outlineLevel="1" spans="1:21">
      <c r="A152" s="24" t="s">
        <v>1122</v>
      </c>
      <c r="B152" s="25" t="s">
        <v>770</v>
      </c>
      <c r="C152" s="26">
        <f t="shared" si="23"/>
        <v>3</v>
      </c>
      <c r="D152" s="29"/>
      <c r="E152" s="29">
        <v>3</v>
      </c>
      <c r="F152" s="29"/>
      <c r="G152" s="26">
        <f t="shared" si="24"/>
        <v>34</v>
      </c>
      <c r="H152" s="26">
        <f t="shared" si="25"/>
        <v>18</v>
      </c>
      <c r="I152" s="29"/>
      <c r="J152" s="29"/>
      <c r="K152" s="29">
        <v>18</v>
      </c>
      <c r="L152" s="29"/>
      <c r="M152" s="29"/>
      <c r="N152" s="29"/>
      <c r="O152" s="29"/>
      <c r="P152" s="29"/>
      <c r="Q152" s="29">
        <v>16</v>
      </c>
      <c r="R152" s="29"/>
      <c r="S152" s="29"/>
      <c r="T152" s="42"/>
      <c r="U152" s="40" t="s">
        <v>2737</v>
      </c>
    </row>
    <row r="153" s="7" customFormat="1" ht="18.5" customHeight="1" outlineLevel="1" spans="1:21">
      <c r="A153" s="24" t="s">
        <v>1123</v>
      </c>
      <c r="B153" s="25" t="s">
        <v>771</v>
      </c>
      <c r="C153" s="26">
        <f t="shared" si="23"/>
        <v>148</v>
      </c>
      <c r="D153" s="29"/>
      <c r="E153" s="29">
        <v>148</v>
      </c>
      <c r="F153" s="29"/>
      <c r="G153" s="26">
        <f t="shared" si="24"/>
        <v>284</v>
      </c>
      <c r="H153" s="26">
        <f t="shared" si="25"/>
        <v>159</v>
      </c>
      <c r="I153" s="29"/>
      <c r="J153" s="29"/>
      <c r="K153" s="29">
        <v>159</v>
      </c>
      <c r="L153" s="29"/>
      <c r="M153" s="29"/>
      <c r="N153" s="29"/>
      <c r="O153" s="29"/>
      <c r="P153" s="29"/>
      <c r="Q153" s="29">
        <v>125</v>
      </c>
      <c r="R153" s="29">
        <v>20</v>
      </c>
      <c r="S153" s="29"/>
      <c r="T153" s="42"/>
      <c r="U153" s="40" t="s">
        <v>2737</v>
      </c>
    </row>
    <row r="154" ht="18.5" customHeight="1" outlineLevel="1" spans="1:21">
      <c r="A154" s="24" t="s">
        <v>1124</v>
      </c>
      <c r="B154" s="25" t="s">
        <v>772</v>
      </c>
      <c r="C154" s="26">
        <f t="shared" si="23"/>
        <v>507</v>
      </c>
      <c r="D154" s="29"/>
      <c r="E154" s="29">
        <v>507</v>
      </c>
      <c r="F154" s="29"/>
      <c r="G154" s="26">
        <f t="shared" si="24"/>
        <v>862</v>
      </c>
      <c r="H154" s="26">
        <f t="shared" si="25"/>
        <v>458</v>
      </c>
      <c r="I154" s="29"/>
      <c r="J154" s="29"/>
      <c r="K154" s="29">
        <v>458</v>
      </c>
      <c r="L154" s="29"/>
      <c r="M154" s="29"/>
      <c r="N154" s="29"/>
      <c r="O154" s="29"/>
      <c r="P154" s="29"/>
      <c r="Q154" s="29">
        <v>404</v>
      </c>
      <c r="R154" s="29">
        <v>89</v>
      </c>
      <c r="S154" s="29"/>
      <c r="T154" s="42"/>
      <c r="U154" s="40" t="s">
        <v>2737</v>
      </c>
    </row>
    <row r="155" ht="18.5" customHeight="1" outlineLevel="1" spans="1:21">
      <c r="A155" s="24" t="s">
        <v>1125</v>
      </c>
      <c r="B155" s="25" t="s">
        <v>773</v>
      </c>
      <c r="C155" s="26">
        <f t="shared" si="23"/>
        <v>294</v>
      </c>
      <c r="D155" s="29"/>
      <c r="E155" s="29">
        <v>294</v>
      </c>
      <c r="F155" s="29"/>
      <c r="G155" s="26">
        <f t="shared" si="24"/>
        <v>589</v>
      </c>
      <c r="H155" s="26">
        <f t="shared" si="25"/>
        <v>270</v>
      </c>
      <c r="I155" s="29"/>
      <c r="J155" s="29"/>
      <c r="K155" s="29">
        <v>270</v>
      </c>
      <c r="L155" s="29"/>
      <c r="M155" s="29"/>
      <c r="N155" s="29"/>
      <c r="O155" s="29"/>
      <c r="P155" s="29"/>
      <c r="Q155" s="29">
        <v>319</v>
      </c>
      <c r="R155" s="29">
        <v>84</v>
      </c>
      <c r="S155" s="29"/>
      <c r="T155" s="42"/>
      <c r="U155" s="40" t="s">
        <v>2737</v>
      </c>
    </row>
    <row r="156" ht="18.5" customHeight="1" outlineLevel="1" spans="1:21">
      <c r="A156" s="24" t="s">
        <v>1126</v>
      </c>
      <c r="B156" s="25" t="s">
        <v>774</v>
      </c>
      <c r="C156" s="26">
        <f t="shared" si="23"/>
        <v>206</v>
      </c>
      <c r="D156" s="29"/>
      <c r="E156" s="29">
        <v>206</v>
      </c>
      <c r="F156" s="29"/>
      <c r="G156" s="26">
        <f t="shared" si="24"/>
        <v>494</v>
      </c>
      <c r="H156" s="26">
        <f t="shared" si="25"/>
        <v>214</v>
      </c>
      <c r="I156" s="29"/>
      <c r="J156" s="29"/>
      <c r="K156" s="29">
        <v>214</v>
      </c>
      <c r="L156" s="29"/>
      <c r="M156" s="29"/>
      <c r="N156" s="29"/>
      <c r="O156" s="29"/>
      <c r="P156" s="29">
        <v>1</v>
      </c>
      <c r="Q156" s="29">
        <v>279</v>
      </c>
      <c r="R156" s="29">
        <v>36</v>
      </c>
      <c r="S156" s="29"/>
      <c r="T156" s="42"/>
      <c r="U156" s="40" t="s">
        <v>2737</v>
      </c>
    </row>
    <row r="157" ht="18.5" customHeight="1" outlineLevel="1" spans="1:21">
      <c r="A157" s="24" t="s">
        <v>1127</v>
      </c>
      <c r="B157" s="25" t="s">
        <v>775</v>
      </c>
      <c r="C157" s="26">
        <f t="shared" si="23"/>
        <v>189</v>
      </c>
      <c r="D157" s="29"/>
      <c r="E157" s="29">
        <v>189</v>
      </c>
      <c r="F157" s="29"/>
      <c r="G157" s="26">
        <f t="shared" si="24"/>
        <v>513</v>
      </c>
      <c r="H157" s="26">
        <f t="shared" si="25"/>
        <v>218</v>
      </c>
      <c r="I157" s="29"/>
      <c r="J157" s="29"/>
      <c r="K157" s="29">
        <v>218</v>
      </c>
      <c r="L157" s="29"/>
      <c r="M157" s="29"/>
      <c r="N157" s="29"/>
      <c r="O157" s="29"/>
      <c r="P157" s="29"/>
      <c r="Q157" s="29">
        <v>295</v>
      </c>
      <c r="R157" s="29">
        <v>63</v>
      </c>
      <c r="S157" s="29"/>
      <c r="T157" s="42"/>
      <c r="U157" s="40" t="s">
        <v>2737</v>
      </c>
    </row>
    <row r="158" ht="18.5" customHeight="1" outlineLevel="1" spans="1:21">
      <c r="A158" s="24" t="s">
        <v>1128</v>
      </c>
      <c r="B158" s="25" t="s">
        <v>776</v>
      </c>
      <c r="C158" s="26">
        <f t="shared" si="23"/>
        <v>154</v>
      </c>
      <c r="D158" s="29"/>
      <c r="E158" s="29">
        <v>154</v>
      </c>
      <c r="F158" s="29"/>
      <c r="G158" s="26">
        <f t="shared" si="24"/>
        <v>348</v>
      </c>
      <c r="H158" s="26">
        <f t="shared" si="25"/>
        <v>175</v>
      </c>
      <c r="I158" s="29"/>
      <c r="J158" s="29"/>
      <c r="K158" s="29">
        <v>175</v>
      </c>
      <c r="L158" s="29"/>
      <c r="M158" s="29"/>
      <c r="N158" s="29"/>
      <c r="O158" s="29"/>
      <c r="P158" s="29"/>
      <c r="Q158" s="29">
        <v>173</v>
      </c>
      <c r="R158" s="29">
        <v>34</v>
      </c>
      <c r="S158" s="29"/>
      <c r="T158" s="42"/>
      <c r="U158" s="40" t="s">
        <v>2737</v>
      </c>
    </row>
    <row r="159" ht="18.5" customHeight="1" outlineLevel="1" spans="1:21">
      <c r="A159" s="24" t="s">
        <v>1129</v>
      </c>
      <c r="B159" s="25" t="s">
        <v>777</v>
      </c>
      <c r="C159" s="26">
        <f t="shared" si="23"/>
        <v>233</v>
      </c>
      <c r="D159" s="29"/>
      <c r="E159" s="29">
        <v>233</v>
      </c>
      <c r="F159" s="29"/>
      <c r="G159" s="26">
        <f t="shared" si="24"/>
        <v>506</v>
      </c>
      <c r="H159" s="26">
        <f t="shared" si="25"/>
        <v>244</v>
      </c>
      <c r="I159" s="29"/>
      <c r="J159" s="29"/>
      <c r="K159" s="29">
        <v>244</v>
      </c>
      <c r="L159" s="29"/>
      <c r="M159" s="29"/>
      <c r="N159" s="29"/>
      <c r="O159" s="29"/>
      <c r="P159" s="29">
        <v>1</v>
      </c>
      <c r="Q159" s="29">
        <v>261</v>
      </c>
      <c r="R159" s="29">
        <v>40</v>
      </c>
      <c r="S159" s="29"/>
      <c r="T159" s="42"/>
      <c r="U159" s="40" t="s">
        <v>2737</v>
      </c>
    </row>
    <row r="160" s="7" customFormat="1" ht="18.5" customHeight="1" outlineLevel="1" spans="1:21">
      <c r="A160" s="24" t="s">
        <v>1130</v>
      </c>
      <c r="B160" s="25" t="s">
        <v>778</v>
      </c>
      <c r="C160" s="26">
        <f t="shared" si="23"/>
        <v>358</v>
      </c>
      <c r="D160" s="29"/>
      <c r="E160" s="29">
        <v>358</v>
      </c>
      <c r="F160" s="29"/>
      <c r="G160" s="26">
        <f t="shared" si="24"/>
        <v>685</v>
      </c>
      <c r="H160" s="26">
        <f t="shared" si="25"/>
        <v>324</v>
      </c>
      <c r="I160" s="29"/>
      <c r="J160" s="29"/>
      <c r="K160" s="29">
        <v>324</v>
      </c>
      <c r="L160" s="29"/>
      <c r="M160" s="29"/>
      <c r="N160" s="29"/>
      <c r="O160" s="29"/>
      <c r="P160" s="29">
        <v>2</v>
      </c>
      <c r="Q160" s="29">
        <v>359</v>
      </c>
      <c r="R160" s="29">
        <v>98</v>
      </c>
      <c r="S160" s="29"/>
      <c r="T160" s="42"/>
      <c r="U160" s="40" t="s">
        <v>2737</v>
      </c>
    </row>
    <row r="161" ht="18.5" customHeight="1" outlineLevel="1" spans="1:21">
      <c r="A161" s="24" t="s">
        <v>1131</v>
      </c>
      <c r="B161" s="25" t="s">
        <v>779</v>
      </c>
      <c r="C161" s="26">
        <f t="shared" si="23"/>
        <v>153</v>
      </c>
      <c r="D161" s="29"/>
      <c r="E161" s="29">
        <v>153</v>
      </c>
      <c r="F161" s="29"/>
      <c r="G161" s="26">
        <f t="shared" si="24"/>
        <v>336</v>
      </c>
      <c r="H161" s="26">
        <f t="shared" si="25"/>
        <v>170</v>
      </c>
      <c r="I161" s="29"/>
      <c r="J161" s="29"/>
      <c r="K161" s="29">
        <v>170</v>
      </c>
      <c r="L161" s="29"/>
      <c r="M161" s="29"/>
      <c r="N161" s="29"/>
      <c r="O161" s="29"/>
      <c r="P161" s="29"/>
      <c r="Q161" s="29">
        <v>166</v>
      </c>
      <c r="R161" s="29">
        <v>20</v>
      </c>
      <c r="S161" s="29"/>
      <c r="T161" s="42"/>
      <c r="U161" s="40" t="s">
        <v>2737</v>
      </c>
    </row>
    <row r="162" ht="18.5" customHeight="1" outlineLevel="1" spans="1:21">
      <c r="A162" s="24" t="s">
        <v>1132</v>
      </c>
      <c r="B162" s="25" t="s">
        <v>780</v>
      </c>
      <c r="C162" s="26">
        <f t="shared" si="23"/>
        <v>156</v>
      </c>
      <c r="D162" s="29"/>
      <c r="E162" s="29">
        <v>156</v>
      </c>
      <c r="F162" s="29"/>
      <c r="G162" s="26">
        <f t="shared" si="24"/>
        <v>367</v>
      </c>
      <c r="H162" s="26">
        <f t="shared" si="25"/>
        <v>181</v>
      </c>
      <c r="I162" s="29"/>
      <c r="J162" s="29"/>
      <c r="K162" s="29">
        <v>180</v>
      </c>
      <c r="L162" s="29">
        <v>1</v>
      </c>
      <c r="M162" s="29"/>
      <c r="N162" s="29"/>
      <c r="O162" s="29"/>
      <c r="P162" s="29"/>
      <c r="Q162" s="29">
        <v>186</v>
      </c>
      <c r="R162" s="29">
        <v>55</v>
      </c>
      <c r="S162" s="29"/>
      <c r="T162" s="42"/>
      <c r="U162" s="40" t="s">
        <v>2737</v>
      </c>
    </row>
    <row r="163" ht="18.5" customHeight="1" outlineLevel="1" spans="1:21">
      <c r="A163" s="24" t="s">
        <v>1133</v>
      </c>
      <c r="B163" s="25" t="s">
        <v>2228</v>
      </c>
      <c r="C163" s="26">
        <f t="shared" si="23"/>
        <v>156</v>
      </c>
      <c r="D163" s="29"/>
      <c r="E163" s="29">
        <v>156</v>
      </c>
      <c r="F163" s="29"/>
      <c r="G163" s="26">
        <f t="shared" si="24"/>
        <v>599</v>
      </c>
      <c r="H163" s="26">
        <f t="shared" si="25"/>
        <v>294</v>
      </c>
      <c r="I163" s="29"/>
      <c r="J163" s="29"/>
      <c r="K163" s="29">
        <v>294</v>
      </c>
      <c r="L163" s="29"/>
      <c r="M163" s="29"/>
      <c r="N163" s="29"/>
      <c r="O163" s="29"/>
      <c r="P163" s="29"/>
      <c r="Q163" s="29">
        <v>305</v>
      </c>
      <c r="R163" s="29">
        <v>56</v>
      </c>
      <c r="S163" s="29"/>
      <c r="T163" s="42"/>
      <c r="U163" s="40" t="s">
        <v>2737</v>
      </c>
    </row>
    <row r="164" ht="18.5" customHeight="1" outlineLevel="1" spans="1:21">
      <c r="A164" s="24" t="s">
        <v>1134</v>
      </c>
      <c r="B164" s="25" t="s">
        <v>782</v>
      </c>
      <c r="C164" s="26">
        <f t="shared" si="23"/>
        <v>147</v>
      </c>
      <c r="D164" s="29"/>
      <c r="E164" s="29">
        <v>147</v>
      </c>
      <c r="F164" s="29"/>
      <c r="G164" s="26">
        <f t="shared" si="24"/>
        <v>440</v>
      </c>
      <c r="H164" s="26">
        <f t="shared" si="25"/>
        <v>215</v>
      </c>
      <c r="I164" s="29"/>
      <c r="J164" s="29"/>
      <c r="K164" s="29">
        <v>215</v>
      </c>
      <c r="L164" s="29"/>
      <c r="M164" s="29"/>
      <c r="N164" s="29"/>
      <c r="O164" s="29"/>
      <c r="P164" s="29"/>
      <c r="Q164" s="29">
        <v>225</v>
      </c>
      <c r="R164" s="29">
        <v>50</v>
      </c>
      <c r="S164" s="29"/>
      <c r="T164" s="42"/>
      <c r="U164" s="40" t="s">
        <v>2737</v>
      </c>
    </row>
    <row r="165" ht="18.5" customHeight="1" outlineLevel="1" spans="1:21">
      <c r="A165" s="24" t="s">
        <v>1135</v>
      </c>
      <c r="B165" s="25" t="s">
        <v>783</v>
      </c>
      <c r="C165" s="26">
        <f t="shared" si="23"/>
        <v>31</v>
      </c>
      <c r="D165" s="29"/>
      <c r="E165" s="29">
        <v>31</v>
      </c>
      <c r="F165" s="29"/>
      <c r="G165" s="26">
        <f t="shared" si="24"/>
        <v>24</v>
      </c>
      <c r="H165" s="26">
        <f t="shared" si="25"/>
        <v>15</v>
      </c>
      <c r="I165" s="29"/>
      <c r="J165" s="29"/>
      <c r="K165" s="29">
        <v>15</v>
      </c>
      <c r="L165" s="29"/>
      <c r="M165" s="29"/>
      <c r="N165" s="29"/>
      <c r="O165" s="29"/>
      <c r="P165" s="29"/>
      <c r="Q165" s="29">
        <v>9</v>
      </c>
      <c r="R165" s="29">
        <v>6</v>
      </c>
      <c r="S165" s="29">
        <v>22</v>
      </c>
      <c r="T165" s="42"/>
      <c r="U165" s="40" t="s">
        <v>2737</v>
      </c>
    </row>
    <row r="166" ht="18.5" customHeight="1" outlineLevel="1" spans="1:21">
      <c r="A166" s="24" t="s">
        <v>1136</v>
      </c>
      <c r="B166" s="25" t="s">
        <v>784</v>
      </c>
      <c r="C166" s="26">
        <f t="shared" si="23"/>
        <v>163</v>
      </c>
      <c r="D166" s="29"/>
      <c r="E166" s="29">
        <v>163</v>
      </c>
      <c r="F166" s="29"/>
      <c r="G166" s="26">
        <f t="shared" si="24"/>
        <v>96</v>
      </c>
      <c r="H166" s="26">
        <f t="shared" si="25"/>
        <v>63</v>
      </c>
      <c r="I166" s="29"/>
      <c r="J166" s="29"/>
      <c r="K166" s="29">
        <v>56</v>
      </c>
      <c r="L166" s="29">
        <v>7</v>
      </c>
      <c r="M166" s="29"/>
      <c r="N166" s="29"/>
      <c r="O166" s="29"/>
      <c r="P166" s="29">
        <v>1</v>
      </c>
      <c r="Q166" s="29">
        <v>32</v>
      </c>
      <c r="R166" s="29">
        <v>4</v>
      </c>
      <c r="S166" s="29"/>
      <c r="T166" s="42"/>
      <c r="U166" s="40" t="s">
        <v>2737</v>
      </c>
    </row>
    <row r="167" ht="18.5" customHeight="1" outlineLevel="1" spans="1:21">
      <c r="A167" s="24" t="s">
        <v>1138</v>
      </c>
      <c r="B167" s="25" t="s">
        <v>785</v>
      </c>
      <c r="C167" s="26">
        <f t="shared" si="23"/>
        <v>91</v>
      </c>
      <c r="D167" s="29"/>
      <c r="E167" s="29">
        <v>91</v>
      </c>
      <c r="F167" s="29"/>
      <c r="G167" s="26">
        <f t="shared" si="24"/>
        <v>125</v>
      </c>
      <c r="H167" s="26">
        <f t="shared" si="25"/>
        <v>81</v>
      </c>
      <c r="I167" s="29"/>
      <c r="J167" s="29"/>
      <c r="K167" s="29">
        <v>81</v>
      </c>
      <c r="L167" s="29"/>
      <c r="M167" s="29"/>
      <c r="N167" s="29"/>
      <c r="O167" s="29"/>
      <c r="P167" s="29">
        <v>1</v>
      </c>
      <c r="Q167" s="29">
        <v>43</v>
      </c>
      <c r="R167" s="29">
        <v>5</v>
      </c>
      <c r="S167" s="29"/>
      <c r="T167" s="42"/>
      <c r="U167" s="40" t="s">
        <v>2734</v>
      </c>
    </row>
    <row r="168" s="7" customFormat="1" ht="18.5" customHeight="1" outlineLevel="1" spans="1:21">
      <c r="A168" s="24" t="s">
        <v>1139</v>
      </c>
      <c r="B168" s="25" t="s">
        <v>786</v>
      </c>
      <c r="C168" s="26">
        <f t="shared" si="23"/>
        <v>59</v>
      </c>
      <c r="D168" s="29"/>
      <c r="E168" s="29">
        <v>59</v>
      </c>
      <c r="F168" s="29"/>
      <c r="G168" s="26">
        <f t="shared" si="24"/>
        <v>79</v>
      </c>
      <c r="H168" s="26">
        <f t="shared" si="25"/>
        <v>61</v>
      </c>
      <c r="I168" s="29"/>
      <c r="J168" s="29"/>
      <c r="K168" s="29">
        <v>61</v>
      </c>
      <c r="L168" s="29"/>
      <c r="M168" s="29"/>
      <c r="N168" s="29"/>
      <c r="O168" s="29"/>
      <c r="P168" s="29"/>
      <c r="Q168" s="29">
        <v>18</v>
      </c>
      <c r="R168" s="29">
        <v>7</v>
      </c>
      <c r="S168" s="29"/>
      <c r="T168" s="42"/>
      <c r="U168" s="40" t="s">
        <v>2734</v>
      </c>
    </row>
    <row r="169" ht="18.5" customHeight="1" outlineLevel="1" spans="1:21">
      <c r="A169" s="24" t="s">
        <v>1140</v>
      </c>
      <c r="B169" s="25" t="s">
        <v>787</v>
      </c>
      <c r="C169" s="26">
        <f t="shared" si="23"/>
        <v>93</v>
      </c>
      <c r="D169" s="29"/>
      <c r="E169" s="29">
        <v>93</v>
      </c>
      <c r="F169" s="29"/>
      <c r="G169" s="26">
        <f t="shared" si="24"/>
        <v>75</v>
      </c>
      <c r="H169" s="26">
        <f t="shared" si="25"/>
        <v>75</v>
      </c>
      <c r="I169" s="29"/>
      <c r="J169" s="29"/>
      <c r="K169" s="29">
        <v>75</v>
      </c>
      <c r="L169" s="29"/>
      <c r="M169" s="29"/>
      <c r="N169" s="29"/>
      <c r="O169" s="29"/>
      <c r="P169" s="29"/>
      <c r="Q169" s="29"/>
      <c r="R169" s="29"/>
      <c r="S169" s="29"/>
      <c r="T169" s="42"/>
      <c r="U169" s="40" t="s">
        <v>2734</v>
      </c>
    </row>
    <row r="170" ht="18.5" customHeight="1" outlineLevel="1" spans="1:21">
      <c r="A170" s="24" t="s">
        <v>1141</v>
      </c>
      <c r="B170" s="25" t="s">
        <v>788</v>
      </c>
      <c r="C170" s="26">
        <f t="shared" si="23"/>
        <v>165</v>
      </c>
      <c r="D170" s="29"/>
      <c r="E170" s="29">
        <v>165</v>
      </c>
      <c r="F170" s="29"/>
      <c r="G170" s="26">
        <f t="shared" si="24"/>
        <v>144</v>
      </c>
      <c r="H170" s="26">
        <f t="shared" si="25"/>
        <v>131</v>
      </c>
      <c r="I170" s="29"/>
      <c r="J170" s="29"/>
      <c r="K170" s="29">
        <v>131</v>
      </c>
      <c r="L170" s="29"/>
      <c r="M170" s="29"/>
      <c r="N170" s="29"/>
      <c r="O170" s="29"/>
      <c r="P170" s="29"/>
      <c r="Q170" s="29">
        <v>13</v>
      </c>
      <c r="R170" s="29">
        <v>1</v>
      </c>
      <c r="S170" s="29"/>
      <c r="T170" s="42"/>
      <c r="U170" s="40" t="s">
        <v>2734</v>
      </c>
    </row>
    <row r="171" ht="18.5" customHeight="1" outlineLevel="1" spans="1:21">
      <c r="A171" s="24" t="s">
        <v>1142</v>
      </c>
      <c r="B171" s="25" t="s">
        <v>789</v>
      </c>
      <c r="C171" s="26">
        <f t="shared" si="23"/>
        <v>362</v>
      </c>
      <c r="D171" s="29"/>
      <c r="E171" s="29">
        <v>362</v>
      </c>
      <c r="F171" s="29"/>
      <c r="G171" s="26">
        <f t="shared" si="24"/>
        <v>277</v>
      </c>
      <c r="H171" s="26">
        <f t="shared" si="25"/>
        <v>277</v>
      </c>
      <c r="I171" s="29"/>
      <c r="J171" s="29"/>
      <c r="K171" s="29">
        <v>277</v>
      </c>
      <c r="L171" s="29"/>
      <c r="M171" s="29"/>
      <c r="N171" s="29"/>
      <c r="O171" s="29"/>
      <c r="P171" s="29"/>
      <c r="Q171" s="29"/>
      <c r="R171" s="29">
        <v>4</v>
      </c>
      <c r="S171" s="29"/>
      <c r="T171" s="42"/>
      <c r="U171" s="40" t="s">
        <v>2734</v>
      </c>
    </row>
    <row r="172" ht="18.5" customHeight="1" outlineLevel="1" spans="1:21">
      <c r="A172" s="24" t="s">
        <v>1143</v>
      </c>
      <c r="B172" s="25" t="s">
        <v>790</v>
      </c>
      <c r="C172" s="26">
        <f t="shared" si="23"/>
        <v>269</v>
      </c>
      <c r="D172" s="29"/>
      <c r="E172" s="29">
        <v>269</v>
      </c>
      <c r="F172" s="29"/>
      <c r="G172" s="26">
        <f t="shared" si="24"/>
        <v>230</v>
      </c>
      <c r="H172" s="26">
        <f t="shared" si="25"/>
        <v>224</v>
      </c>
      <c r="I172" s="29"/>
      <c r="J172" s="29"/>
      <c r="K172" s="29">
        <v>224</v>
      </c>
      <c r="L172" s="29"/>
      <c r="M172" s="29"/>
      <c r="N172" s="29"/>
      <c r="O172" s="29"/>
      <c r="P172" s="29"/>
      <c r="Q172" s="29">
        <v>6</v>
      </c>
      <c r="R172" s="29">
        <v>2</v>
      </c>
      <c r="S172" s="29"/>
      <c r="T172" s="42"/>
      <c r="U172" s="40" t="s">
        <v>2734</v>
      </c>
    </row>
    <row r="173" ht="18.5" customHeight="1" outlineLevel="1" spans="1:21">
      <c r="A173" s="24" t="s">
        <v>1144</v>
      </c>
      <c r="B173" s="25" t="s">
        <v>791</v>
      </c>
      <c r="C173" s="26">
        <f t="shared" si="23"/>
        <v>97</v>
      </c>
      <c r="D173" s="29"/>
      <c r="E173" s="29">
        <v>97</v>
      </c>
      <c r="F173" s="29"/>
      <c r="G173" s="26">
        <f t="shared" si="24"/>
        <v>89</v>
      </c>
      <c r="H173" s="26">
        <f t="shared" si="25"/>
        <v>89</v>
      </c>
      <c r="I173" s="29"/>
      <c r="J173" s="29"/>
      <c r="K173" s="29">
        <v>89</v>
      </c>
      <c r="L173" s="29"/>
      <c r="M173" s="29"/>
      <c r="N173" s="29"/>
      <c r="O173" s="29"/>
      <c r="P173" s="29"/>
      <c r="Q173" s="29"/>
      <c r="R173" s="29"/>
      <c r="S173" s="29"/>
      <c r="T173" s="42"/>
      <c r="U173" s="40" t="s">
        <v>2734</v>
      </c>
    </row>
    <row r="174" s="7" customFormat="1" ht="18.5" customHeight="1" outlineLevel="1" spans="1:21">
      <c r="A174" s="24" t="s">
        <v>1145</v>
      </c>
      <c r="B174" s="25" t="s">
        <v>792</v>
      </c>
      <c r="C174" s="26">
        <f t="shared" si="23"/>
        <v>80</v>
      </c>
      <c r="D174" s="29"/>
      <c r="E174" s="29">
        <v>80</v>
      </c>
      <c r="F174" s="29"/>
      <c r="G174" s="26">
        <f t="shared" si="24"/>
        <v>130</v>
      </c>
      <c r="H174" s="26">
        <f t="shared" si="25"/>
        <v>92</v>
      </c>
      <c r="I174" s="29"/>
      <c r="J174" s="29"/>
      <c r="K174" s="29">
        <v>92</v>
      </c>
      <c r="L174" s="29"/>
      <c r="M174" s="29"/>
      <c r="N174" s="29"/>
      <c r="O174" s="29"/>
      <c r="P174" s="29"/>
      <c r="Q174" s="29">
        <v>38</v>
      </c>
      <c r="R174" s="29">
        <v>14</v>
      </c>
      <c r="S174" s="29"/>
      <c r="T174" s="42"/>
      <c r="U174" s="40" t="s">
        <v>2734</v>
      </c>
    </row>
    <row r="175" ht="18.5" customHeight="1" outlineLevel="1" spans="1:21">
      <c r="A175" s="24" t="s">
        <v>1146</v>
      </c>
      <c r="B175" s="25" t="s">
        <v>793</v>
      </c>
      <c r="C175" s="26">
        <f t="shared" si="23"/>
        <v>110</v>
      </c>
      <c r="D175" s="29"/>
      <c r="E175" s="29">
        <v>110</v>
      </c>
      <c r="F175" s="29"/>
      <c r="G175" s="26">
        <f t="shared" si="24"/>
        <v>111</v>
      </c>
      <c r="H175" s="26">
        <f t="shared" si="25"/>
        <v>105</v>
      </c>
      <c r="I175" s="29"/>
      <c r="J175" s="29"/>
      <c r="K175" s="29">
        <v>105</v>
      </c>
      <c r="L175" s="29"/>
      <c r="M175" s="29"/>
      <c r="N175" s="29"/>
      <c r="O175" s="29"/>
      <c r="P175" s="29"/>
      <c r="Q175" s="29">
        <v>6</v>
      </c>
      <c r="R175" s="29"/>
      <c r="S175" s="29"/>
      <c r="T175" s="42"/>
      <c r="U175" s="40" t="s">
        <v>2734</v>
      </c>
    </row>
    <row r="176" ht="18.5" customHeight="1" outlineLevel="1" spans="1:21">
      <c r="A176" s="44" t="s">
        <v>1147</v>
      </c>
      <c r="B176" s="45" t="s">
        <v>794</v>
      </c>
      <c r="C176" s="26">
        <f t="shared" si="23"/>
        <v>111</v>
      </c>
      <c r="D176" s="29"/>
      <c r="E176" s="29">
        <v>111</v>
      </c>
      <c r="F176" s="29"/>
      <c r="G176" s="26">
        <f t="shared" si="24"/>
        <v>114</v>
      </c>
      <c r="H176" s="26">
        <f t="shared" si="25"/>
        <v>103</v>
      </c>
      <c r="I176" s="29"/>
      <c r="J176" s="29"/>
      <c r="K176" s="29">
        <v>103</v>
      </c>
      <c r="L176" s="29"/>
      <c r="M176" s="29"/>
      <c r="N176" s="29"/>
      <c r="O176" s="29"/>
      <c r="P176" s="29"/>
      <c r="Q176" s="29">
        <v>11</v>
      </c>
      <c r="R176" s="29"/>
      <c r="S176" s="29"/>
      <c r="T176" s="42"/>
      <c r="U176" s="40"/>
    </row>
    <row r="177" ht="18.5" customHeight="1" outlineLevel="1" spans="1:21">
      <c r="A177" s="44" t="s">
        <v>1148</v>
      </c>
      <c r="B177" s="45" t="s">
        <v>795</v>
      </c>
      <c r="C177" s="26">
        <f t="shared" si="23"/>
        <v>56</v>
      </c>
      <c r="D177" s="29"/>
      <c r="E177" s="29">
        <v>56</v>
      </c>
      <c r="F177" s="29"/>
      <c r="G177" s="26">
        <f t="shared" si="24"/>
        <v>77</v>
      </c>
      <c r="H177" s="26">
        <f t="shared" si="25"/>
        <v>77</v>
      </c>
      <c r="I177" s="29"/>
      <c r="J177" s="29"/>
      <c r="K177" s="29">
        <v>73</v>
      </c>
      <c r="L177" s="29">
        <v>4</v>
      </c>
      <c r="M177" s="29"/>
      <c r="N177" s="29"/>
      <c r="O177" s="29"/>
      <c r="P177" s="29"/>
      <c r="Q177" s="29"/>
      <c r="R177" s="29"/>
      <c r="S177" s="29"/>
      <c r="T177" s="42"/>
      <c r="U177" s="40"/>
    </row>
    <row r="178" s="7" customFormat="1" ht="18.5" customHeight="1" outlineLevel="1" spans="1:21">
      <c r="A178" s="44" t="s">
        <v>1149</v>
      </c>
      <c r="B178" s="45" t="s">
        <v>796</v>
      </c>
      <c r="C178" s="26">
        <f t="shared" si="23"/>
        <v>202</v>
      </c>
      <c r="D178" s="29"/>
      <c r="E178" s="29">
        <v>202</v>
      </c>
      <c r="F178" s="29"/>
      <c r="G178" s="26">
        <f t="shared" si="24"/>
        <v>153</v>
      </c>
      <c r="H178" s="26">
        <f t="shared" si="25"/>
        <v>150</v>
      </c>
      <c r="I178" s="29"/>
      <c r="J178" s="29"/>
      <c r="K178" s="29">
        <v>150</v>
      </c>
      <c r="L178" s="29"/>
      <c r="M178" s="29"/>
      <c r="N178" s="29"/>
      <c r="O178" s="29"/>
      <c r="P178" s="29"/>
      <c r="Q178" s="29">
        <v>3</v>
      </c>
      <c r="R178" s="29"/>
      <c r="S178" s="29"/>
      <c r="T178" s="42"/>
      <c r="U178" s="40"/>
    </row>
    <row r="179" ht="18.5" customHeight="1" outlineLevel="1" spans="1:21">
      <c r="A179" s="44" t="s">
        <v>1150</v>
      </c>
      <c r="B179" s="45" t="s">
        <v>797</v>
      </c>
      <c r="C179" s="26">
        <f t="shared" si="23"/>
        <v>79</v>
      </c>
      <c r="D179" s="29"/>
      <c r="E179" s="29">
        <v>79</v>
      </c>
      <c r="F179" s="29"/>
      <c r="G179" s="26">
        <f t="shared" si="24"/>
        <v>0</v>
      </c>
      <c r="H179" s="26">
        <f t="shared" si="25"/>
        <v>0</v>
      </c>
      <c r="I179" s="29"/>
      <c r="J179" s="29"/>
      <c r="K179" s="29"/>
      <c r="L179" s="29"/>
      <c r="M179" s="29"/>
      <c r="N179" s="29"/>
      <c r="O179" s="29"/>
      <c r="P179" s="29"/>
      <c r="Q179" s="29"/>
      <c r="R179" s="29"/>
      <c r="S179" s="29"/>
      <c r="T179" s="42"/>
      <c r="U179" s="40"/>
    </row>
    <row r="180" ht="18.5" customHeight="1" outlineLevel="1" spans="1:21">
      <c r="A180" s="44" t="s">
        <v>1151</v>
      </c>
      <c r="B180" s="45" t="s">
        <v>798</v>
      </c>
      <c r="C180" s="26">
        <f t="shared" si="23"/>
        <v>20</v>
      </c>
      <c r="D180" s="29"/>
      <c r="E180" s="29">
        <v>20</v>
      </c>
      <c r="F180" s="29"/>
      <c r="G180" s="26">
        <f t="shared" si="24"/>
        <v>0</v>
      </c>
      <c r="H180" s="26">
        <f t="shared" si="25"/>
        <v>0</v>
      </c>
      <c r="I180" s="29"/>
      <c r="J180" s="29"/>
      <c r="K180" s="29"/>
      <c r="L180" s="29"/>
      <c r="M180" s="29"/>
      <c r="N180" s="29"/>
      <c r="O180" s="29"/>
      <c r="P180" s="29"/>
      <c r="Q180" s="29"/>
      <c r="R180" s="29"/>
      <c r="S180" s="29"/>
      <c r="T180" s="42"/>
      <c r="U180" s="40"/>
    </row>
    <row r="181" s="7" customFormat="1" ht="18.5" customHeight="1" outlineLevel="1" spans="1:21">
      <c r="A181" s="24" t="s">
        <v>1152</v>
      </c>
      <c r="B181" s="25" t="s">
        <v>2229</v>
      </c>
      <c r="C181" s="26">
        <f t="shared" si="23"/>
        <v>25</v>
      </c>
      <c r="D181" s="29"/>
      <c r="E181" s="29">
        <v>25</v>
      </c>
      <c r="F181" s="29"/>
      <c r="G181" s="26">
        <f t="shared" si="24"/>
        <v>40</v>
      </c>
      <c r="H181" s="26">
        <f t="shared" si="25"/>
        <v>20</v>
      </c>
      <c r="I181" s="29"/>
      <c r="J181" s="29">
        <v>17</v>
      </c>
      <c r="K181" s="29">
        <v>2</v>
      </c>
      <c r="L181" s="29"/>
      <c r="M181" s="29"/>
      <c r="N181" s="29">
        <v>1</v>
      </c>
      <c r="O181" s="29"/>
      <c r="P181" s="29"/>
      <c r="Q181" s="29">
        <v>20</v>
      </c>
      <c r="R181" s="29"/>
      <c r="S181" s="29"/>
      <c r="T181" s="42"/>
      <c r="U181" s="40"/>
    </row>
    <row r="182" ht="18.5" customHeight="1" outlineLevel="1" spans="1:21">
      <c r="A182" s="24" t="s">
        <v>1153</v>
      </c>
      <c r="B182" s="25" t="s">
        <v>800</v>
      </c>
      <c r="C182" s="26">
        <f t="shared" si="23"/>
        <v>7</v>
      </c>
      <c r="D182" s="29">
        <v>5</v>
      </c>
      <c r="E182" s="29">
        <v>2</v>
      </c>
      <c r="F182" s="29"/>
      <c r="G182" s="26">
        <f t="shared" si="24"/>
        <v>23</v>
      </c>
      <c r="H182" s="26">
        <f t="shared" si="25"/>
        <v>13</v>
      </c>
      <c r="I182" s="29">
        <v>10</v>
      </c>
      <c r="J182" s="29"/>
      <c r="K182" s="29">
        <v>2</v>
      </c>
      <c r="L182" s="29"/>
      <c r="M182" s="29"/>
      <c r="N182" s="29"/>
      <c r="O182" s="29">
        <v>1</v>
      </c>
      <c r="P182" s="29"/>
      <c r="Q182" s="29">
        <v>10</v>
      </c>
      <c r="R182" s="29"/>
      <c r="S182" s="29"/>
      <c r="T182" s="42"/>
      <c r="U182" s="40"/>
    </row>
    <row r="183" s="5" customFormat="1" ht="18.5" customHeight="1" spans="1:21">
      <c r="A183" s="24" t="s">
        <v>1154</v>
      </c>
      <c r="B183" s="25" t="s">
        <v>801</v>
      </c>
      <c r="C183" s="26">
        <f t="shared" ref="C183:C185" si="26">SUM(D183:E183)</f>
        <v>45</v>
      </c>
      <c r="D183" s="29"/>
      <c r="E183" s="29">
        <v>45</v>
      </c>
      <c r="F183" s="29"/>
      <c r="G183" s="26">
        <f t="shared" ref="G183:G185" si="27">SUM(P183,Q183,H183)</f>
        <v>42</v>
      </c>
      <c r="H183" s="26">
        <f t="shared" ref="H183:H185" si="28">SUM(I183:O183)</f>
        <v>41</v>
      </c>
      <c r="I183" s="29"/>
      <c r="J183" s="29"/>
      <c r="K183" s="29">
        <v>40</v>
      </c>
      <c r="L183" s="29">
        <v>1</v>
      </c>
      <c r="M183" s="29"/>
      <c r="N183" s="29"/>
      <c r="O183" s="29"/>
      <c r="P183" s="29"/>
      <c r="Q183" s="29">
        <v>1</v>
      </c>
      <c r="R183" s="29"/>
      <c r="S183" s="29"/>
      <c r="T183" s="42"/>
      <c r="U183" s="40"/>
    </row>
    <row r="184" s="9" customFormat="1" ht="18.5" customHeight="1" outlineLevel="1" spans="1:21">
      <c r="A184" s="24" t="s">
        <v>802</v>
      </c>
      <c r="B184" s="25" t="s">
        <v>1765</v>
      </c>
      <c r="C184" s="26">
        <f t="shared" si="26"/>
        <v>26</v>
      </c>
      <c r="D184" s="29">
        <v>14</v>
      </c>
      <c r="E184" s="29">
        <v>12</v>
      </c>
      <c r="F184" s="29"/>
      <c r="G184" s="26">
        <f t="shared" si="27"/>
        <v>30</v>
      </c>
      <c r="H184" s="26">
        <f t="shared" si="28"/>
        <v>26</v>
      </c>
      <c r="I184" s="29">
        <v>13</v>
      </c>
      <c r="J184" s="29"/>
      <c r="K184" s="29">
        <v>12</v>
      </c>
      <c r="L184" s="29"/>
      <c r="M184" s="29"/>
      <c r="N184" s="29"/>
      <c r="O184" s="29">
        <v>1</v>
      </c>
      <c r="P184" s="29"/>
      <c r="Q184" s="29">
        <v>4</v>
      </c>
      <c r="R184" s="29"/>
      <c r="S184" s="29"/>
      <c r="T184" s="42"/>
      <c r="U184" s="40"/>
    </row>
    <row r="185" ht="18.5" customHeight="1" outlineLevel="2" spans="1:21">
      <c r="A185" s="24" t="s">
        <v>804</v>
      </c>
      <c r="B185" s="25" t="s">
        <v>805</v>
      </c>
      <c r="C185" s="26">
        <f t="shared" si="26"/>
        <v>7</v>
      </c>
      <c r="D185" s="29">
        <v>2</v>
      </c>
      <c r="E185" s="29">
        <v>5</v>
      </c>
      <c r="F185" s="29"/>
      <c r="G185" s="26">
        <f t="shared" si="27"/>
        <v>8</v>
      </c>
      <c r="H185" s="26">
        <f t="shared" si="28"/>
        <v>7</v>
      </c>
      <c r="I185" s="29">
        <v>2</v>
      </c>
      <c r="J185" s="29">
        <v>1</v>
      </c>
      <c r="K185" s="29">
        <v>4</v>
      </c>
      <c r="L185" s="29"/>
      <c r="M185" s="29"/>
      <c r="N185" s="29"/>
      <c r="O185" s="29"/>
      <c r="P185" s="29"/>
      <c r="Q185" s="29">
        <v>1</v>
      </c>
      <c r="R185" s="29"/>
      <c r="S185" s="29"/>
      <c r="T185" s="42"/>
      <c r="U185" s="40"/>
    </row>
    <row r="186" ht="18.5" customHeight="1" outlineLevel="2" spans="1:21">
      <c r="A186" s="21"/>
      <c r="B186" s="27" t="s">
        <v>2738</v>
      </c>
      <c r="C186" s="28">
        <f t="shared" ref="C186:S186" si="29">SUM(C187,C193,C201,C208,C214,C222,C228,C236,C244,C250,C256,C262,C268,C274,C280,C286)</f>
        <v>1201</v>
      </c>
      <c r="D186" s="28">
        <f t="shared" si="29"/>
        <v>631</v>
      </c>
      <c r="E186" s="28">
        <f t="shared" si="29"/>
        <v>570</v>
      </c>
      <c r="F186" s="28">
        <f t="shared" si="29"/>
        <v>0</v>
      </c>
      <c r="G186" s="28">
        <f t="shared" si="29"/>
        <v>1879</v>
      </c>
      <c r="H186" s="28">
        <f t="shared" si="29"/>
        <v>1168</v>
      </c>
      <c r="I186" s="28">
        <f t="shared" si="29"/>
        <v>623</v>
      </c>
      <c r="J186" s="28">
        <f t="shared" si="29"/>
        <v>0</v>
      </c>
      <c r="K186" s="28">
        <f t="shared" si="29"/>
        <v>543</v>
      </c>
      <c r="L186" s="28">
        <f t="shared" si="29"/>
        <v>0</v>
      </c>
      <c r="M186" s="28">
        <f t="shared" si="29"/>
        <v>0</v>
      </c>
      <c r="N186" s="28">
        <f t="shared" si="29"/>
        <v>0</v>
      </c>
      <c r="O186" s="28">
        <f t="shared" si="29"/>
        <v>2</v>
      </c>
      <c r="P186" s="28">
        <f t="shared" si="29"/>
        <v>1</v>
      </c>
      <c r="Q186" s="28">
        <f t="shared" si="29"/>
        <v>710</v>
      </c>
      <c r="R186" s="28">
        <f t="shared" si="29"/>
        <v>79</v>
      </c>
      <c r="S186" s="28">
        <f t="shared" si="29"/>
        <v>0</v>
      </c>
      <c r="T186" s="23"/>
      <c r="U186" s="41" t="s">
        <v>2708</v>
      </c>
    </row>
    <row r="187" ht="18.5" customHeight="1" outlineLevel="2" spans="1:21">
      <c r="A187" s="21" t="s">
        <v>2739</v>
      </c>
      <c r="B187" s="27" t="s">
        <v>811</v>
      </c>
      <c r="C187" s="28">
        <f t="shared" ref="C187:S187" si="30">SUM(C188:C192)</f>
        <v>68</v>
      </c>
      <c r="D187" s="28">
        <f t="shared" si="30"/>
        <v>26</v>
      </c>
      <c r="E187" s="28">
        <f t="shared" si="30"/>
        <v>42</v>
      </c>
      <c r="F187" s="28">
        <f t="shared" si="30"/>
        <v>0</v>
      </c>
      <c r="G187" s="28">
        <f t="shared" si="30"/>
        <v>108</v>
      </c>
      <c r="H187" s="28">
        <f t="shared" si="30"/>
        <v>63</v>
      </c>
      <c r="I187" s="28">
        <f t="shared" si="30"/>
        <v>24</v>
      </c>
      <c r="J187" s="28">
        <f t="shared" si="30"/>
        <v>0</v>
      </c>
      <c r="K187" s="28">
        <f t="shared" si="30"/>
        <v>39</v>
      </c>
      <c r="L187" s="28">
        <f t="shared" si="30"/>
        <v>0</v>
      </c>
      <c r="M187" s="28">
        <f t="shared" si="30"/>
        <v>0</v>
      </c>
      <c r="N187" s="28">
        <f t="shared" si="30"/>
        <v>0</v>
      </c>
      <c r="O187" s="28">
        <f t="shared" si="30"/>
        <v>0</v>
      </c>
      <c r="P187" s="28">
        <f t="shared" si="30"/>
        <v>0</v>
      </c>
      <c r="Q187" s="28">
        <f t="shared" si="30"/>
        <v>45</v>
      </c>
      <c r="R187" s="28">
        <f t="shared" si="30"/>
        <v>0</v>
      </c>
      <c r="S187" s="28">
        <f t="shared" si="30"/>
        <v>0</v>
      </c>
      <c r="T187" s="23"/>
      <c r="U187" s="46" t="s">
        <v>2708</v>
      </c>
    </row>
    <row r="188" ht="18.5" customHeight="1" outlineLevel="2" spans="1:21">
      <c r="A188" s="24" t="s">
        <v>812</v>
      </c>
      <c r="B188" s="25" t="s">
        <v>2233</v>
      </c>
      <c r="C188" s="26">
        <f t="shared" ref="C188:C192" si="31">SUM(D188:E188)</f>
        <v>26</v>
      </c>
      <c r="D188" s="29">
        <v>26</v>
      </c>
      <c r="E188" s="29"/>
      <c r="F188" s="29"/>
      <c r="G188" s="26">
        <f t="shared" ref="G188:G192" si="32">SUM(P188,Q188,H188)</f>
        <v>61</v>
      </c>
      <c r="H188" s="26">
        <f t="shared" ref="H188:H192" si="33">SUM(I188:O188)</f>
        <v>24</v>
      </c>
      <c r="I188" s="29">
        <v>24</v>
      </c>
      <c r="J188" s="29"/>
      <c r="K188" s="29"/>
      <c r="L188" s="29"/>
      <c r="M188" s="29"/>
      <c r="N188" s="29"/>
      <c r="O188" s="29"/>
      <c r="P188" s="29"/>
      <c r="Q188" s="29">
        <v>37</v>
      </c>
      <c r="R188" s="29"/>
      <c r="S188" s="29"/>
      <c r="T188" s="42"/>
      <c r="U188" s="40" t="s">
        <v>2740</v>
      </c>
    </row>
    <row r="189" ht="18.5" customHeight="1" outlineLevel="2" spans="1:21">
      <c r="A189" s="24" t="s">
        <v>814</v>
      </c>
      <c r="B189" s="25" t="s">
        <v>815</v>
      </c>
      <c r="C189" s="26">
        <f t="shared" si="31"/>
        <v>12</v>
      </c>
      <c r="D189" s="29"/>
      <c r="E189" s="29">
        <v>12</v>
      </c>
      <c r="F189" s="29"/>
      <c r="G189" s="26">
        <f t="shared" si="32"/>
        <v>16</v>
      </c>
      <c r="H189" s="26">
        <f t="shared" si="33"/>
        <v>12</v>
      </c>
      <c r="I189" s="29"/>
      <c r="J189" s="29"/>
      <c r="K189" s="29">
        <v>12</v>
      </c>
      <c r="L189" s="29"/>
      <c r="M189" s="29"/>
      <c r="N189" s="29"/>
      <c r="O189" s="29"/>
      <c r="P189" s="29"/>
      <c r="Q189" s="29">
        <v>4</v>
      </c>
      <c r="R189" s="29"/>
      <c r="S189" s="29"/>
      <c r="T189" s="42"/>
      <c r="U189" s="40" t="s">
        <v>2741</v>
      </c>
    </row>
    <row r="190" s="9" customFormat="1" ht="18.5" customHeight="1" outlineLevel="1" spans="1:21">
      <c r="A190" s="24" t="s">
        <v>816</v>
      </c>
      <c r="B190" s="25" t="s">
        <v>817</v>
      </c>
      <c r="C190" s="26">
        <f t="shared" si="31"/>
        <v>14</v>
      </c>
      <c r="D190" s="29"/>
      <c r="E190" s="29">
        <v>14</v>
      </c>
      <c r="F190" s="29"/>
      <c r="G190" s="26">
        <f t="shared" si="32"/>
        <v>18</v>
      </c>
      <c r="H190" s="26">
        <f t="shared" si="33"/>
        <v>14</v>
      </c>
      <c r="I190" s="29"/>
      <c r="J190" s="29"/>
      <c r="K190" s="29">
        <v>14</v>
      </c>
      <c r="L190" s="29"/>
      <c r="M190" s="29"/>
      <c r="N190" s="29"/>
      <c r="O190" s="29"/>
      <c r="P190" s="29"/>
      <c r="Q190" s="29">
        <v>4</v>
      </c>
      <c r="R190" s="29"/>
      <c r="S190" s="29"/>
      <c r="T190" s="42"/>
      <c r="U190" s="40" t="s">
        <v>2742</v>
      </c>
    </row>
    <row r="191" ht="18.5" customHeight="1" outlineLevel="2" spans="1:21">
      <c r="A191" s="24" t="s">
        <v>818</v>
      </c>
      <c r="B191" s="25" t="s">
        <v>819</v>
      </c>
      <c r="C191" s="26">
        <f t="shared" si="31"/>
        <v>11</v>
      </c>
      <c r="D191" s="29"/>
      <c r="E191" s="29">
        <v>11</v>
      </c>
      <c r="F191" s="29"/>
      <c r="G191" s="26">
        <f t="shared" si="32"/>
        <v>9</v>
      </c>
      <c r="H191" s="26">
        <f t="shared" si="33"/>
        <v>9</v>
      </c>
      <c r="I191" s="29"/>
      <c r="J191" s="29"/>
      <c r="K191" s="29">
        <v>9</v>
      </c>
      <c r="L191" s="29"/>
      <c r="M191" s="29"/>
      <c r="N191" s="29"/>
      <c r="O191" s="29"/>
      <c r="P191" s="29"/>
      <c r="Q191" s="29"/>
      <c r="R191" s="29"/>
      <c r="S191" s="29"/>
      <c r="T191" s="42"/>
      <c r="U191" s="40" t="s">
        <v>2742</v>
      </c>
    </row>
    <row r="192" ht="18.5" customHeight="1" outlineLevel="2" spans="1:21">
      <c r="A192" s="24" t="s">
        <v>820</v>
      </c>
      <c r="B192" s="25" t="s">
        <v>821</v>
      </c>
      <c r="C192" s="26">
        <f t="shared" si="31"/>
        <v>5</v>
      </c>
      <c r="D192" s="29"/>
      <c r="E192" s="29">
        <v>5</v>
      </c>
      <c r="F192" s="29"/>
      <c r="G192" s="26">
        <f t="shared" si="32"/>
        <v>4</v>
      </c>
      <c r="H192" s="26">
        <f t="shared" si="33"/>
        <v>4</v>
      </c>
      <c r="I192" s="29"/>
      <c r="J192" s="29"/>
      <c r="K192" s="29">
        <v>4</v>
      </c>
      <c r="L192" s="29"/>
      <c r="M192" s="29"/>
      <c r="N192" s="29"/>
      <c r="O192" s="29"/>
      <c r="P192" s="29"/>
      <c r="Q192" s="29"/>
      <c r="R192" s="29"/>
      <c r="S192" s="29"/>
      <c r="T192" s="42"/>
      <c r="U192" s="40" t="s">
        <v>2742</v>
      </c>
    </row>
    <row r="193" ht="18.5" customHeight="1" outlineLevel="2" spans="1:21">
      <c r="A193" s="21" t="s">
        <v>2743</v>
      </c>
      <c r="B193" s="27" t="s">
        <v>822</v>
      </c>
      <c r="C193" s="23">
        <f t="shared" ref="C193:S193" si="34">SUM(C194:C200)</f>
        <v>92</v>
      </c>
      <c r="D193" s="23">
        <f t="shared" si="34"/>
        <v>57</v>
      </c>
      <c r="E193" s="23">
        <f t="shared" si="34"/>
        <v>35</v>
      </c>
      <c r="F193" s="23">
        <f t="shared" si="34"/>
        <v>0</v>
      </c>
      <c r="G193" s="23">
        <f t="shared" si="34"/>
        <v>177</v>
      </c>
      <c r="H193" s="23">
        <f t="shared" si="34"/>
        <v>97</v>
      </c>
      <c r="I193" s="23">
        <f t="shared" si="34"/>
        <v>62</v>
      </c>
      <c r="J193" s="23">
        <f t="shared" si="34"/>
        <v>0</v>
      </c>
      <c r="K193" s="23">
        <f t="shared" si="34"/>
        <v>35</v>
      </c>
      <c r="L193" s="23">
        <f t="shared" si="34"/>
        <v>0</v>
      </c>
      <c r="M193" s="23">
        <f t="shared" si="34"/>
        <v>0</v>
      </c>
      <c r="N193" s="23">
        <f t="shared" si="34"/>
        <v>0</v>
      </c>
      <c r="O193" s="23">
        <f t="shared" si="34"/>
        <v>0</v>
      </c>
      <c r="P193" s="23">
        <f t="shared" si="34"/>
        <v>0</v>
      </c>
      <c r="Q193" s="23">
        <f t="shared" si="34"/>
        <v>80</v>
      </c>
      <c r="R193" s="23">
        <f t="shared" si="34"/>
        <v>6</v>
      </c>
      <c r="S193" s="23">
        <f t="shared" si="34"/>
        <v>0</v>
      </c>
      <c r="T193" s="23"/>
      <c r="U193" s="46" t="s">
        <v>2708</v>
      </c>
    </row>
    <row r="194" ht="18.5" customHeight="1" outlineLevel="2" spans="1:21">
      <c r="A194" s="24" t="s">
        <v>823</v>
      </c>
      <c r="B194" s="25" t="s">
        <v>2234</v>
      </c>
      <c r="C194" s="26">
        <f t="shared" ref="C194:C200" si="35">SUM(D194:E194)</f>
        <v>57</v>
      </c>
      <c r="D194" s="29">
        <v>57</v>
      </c>
      <c r="E194" s="29"/>
      <c r="F194" s="29"/>
      <c r="G194" s="26">
        <f t="shared" ref="G194:G200" si="36">SUM(P194,Q194,H194)</f>
        <v>130</v>
      </c>
      <c r="H194" s="26">
        <f t="shared" ref="H194:H200" si="37">SUM(I194:O194)</f>
        <v>63</v>
      </c>
      <c r="I194" s="29">
        <v>62</v>
      </c>
      <c r="J194" s="29"/>
      <c r="K194" s="29">
        <v>1</v>
      </c>
      <c r="L194" s="29"/>
      <c r="M194" s="29"/>
      <c r="N194" s="29"/>
      <c r="O194" s="29"/>
      <c r="P194" s="29"/>
      <c r="Q194" s="29">
        <v>67</v>
      </c>
      <c r="R194" s="29"/>
      <c r="S194" s="29"/>
      <c r="T194" s="42"/>
      <c r="U194" s="40" t="s">
        <v>2740</v>
      </c>
    </row>
    <row r="195" ht="18.5" customHeight="1" outlineLevel="2" spans="1:21">
      <c r="A195" s="24" t="s">
        <v>825</v>
      </c>
      <c r="B195" s="25" t="s">
        <v>826</v>
      </c>
      <c r="C195" s="26">
        <f t="shared" si="35"/>
        <v>15</v>
      </c>
      <c r="D195" s="29"/>
      <c r="E195" s="29">
        <v>15</v>
      </c>
      <c r="F195" s="29"/>
      <c r="G195" s="26">
        <f t="shared" si="36"/>
        <v>26</v>
      </c>
      <c r="H195" s="26">
        <f t="shared" si="37"/>
        <v>15</v>
      </c>
      <c r="I195" s="29"/>
      <c r="J195" s="29"/>
      <c r="K195" s="29">
        <v>15</v>
      </c>
      <c r="L195" s="29"/>
      <c r="M195" s="29"/>
      <c r="N195" s="29"/>
      <c r="O195" s="29"/>
      <c r="P195" s="29"/>
      <c r="Q195" s="29">
        <v>11</v>
      </c>
      <c r="R195" s="29">
        <v>3</v>
      </c>
      <c r="S195" s="29"/>
      <c r="T195" s="42"/>
      <c r="U195" s="40" t="s">
        <v>2741</v>
      </c>
    </row>
    <row r="196" ht="18.5" customHeight="1" outlineLevel="2" spans="1:21">
      <c r="A196" s="24" t="s">
        <v>827</v>
      </c>
      <c r="B196" s="25" t="s">
        <v>828</v>
      </c>
      <c r="C196" s="26">
        <f t="shared" si="35"/>
        <v>1</v>
      </c>
      <c r="D196" s="29"/>
      <c r="E196" s="29">
        <v>1</v>
      </c>
      <c r="F196" s="29"/>
      <c r="G196" s="26">
        <f t="shared" si="36"/>
        <v>1</v>
      </c>
      <c r="H196" s="26">
        <f t="shared" si="37"/>
        <v>1</v>
      </c>
      <c r="I196" s="29"/>
      <c r="J196" s="29"/>
      <c r="K196" s="29">
        <v>1</v>
      </c>
      <c r="L196" s="29"/>
      <c r="M196" s="29"/>
      <c r="N196" s="29"/>
      <c r="O196" s="29"/>
      <c r="P196" s="29"/>
      <c r="Q196" s="29"/>
      <c r="R196" s="29"/>
      <c r="S196" s="29"/>
      <c r="T196" s="42"/>
      <c r="U196" s="40" t="s">
        <v>2742</v>
      </c>
    </row>
    <row r="197" ht="18.5" customHeight="1" outlineLevel="2" spans="1:21">
      <c r="A197" s="24" t="s">
        <v>829</v>
      </c>
      <c r="B197" s="25" t="s">
        <v>830</v>
      </c>
      <c r="C197" s="26">
        <f t="shared" si="35"/>
        <v>2</v>
      </c>
      <c r="D197" s="29"/>
      <c r="E197" s="29">
        <v>2</v>
      </c>
      <c r="F197" s="29"/>
      <c r="G197" s="26">
        <f t="shared" si="36"/>
        <v>1</v>
      </c>
      <c r="H197" s="26">
        <f t="shared" si="37"/>
        <v>1</v>
      </c>
      <c r="I197" s="29"/>
      <c r="J197" s="29"/>
      <c r="K197" s="29">
        <v>1</v>
      </c>
      <c r="L197" s="29"/>
      <c r="M197" s="29"/>
      <c r="N197" s="29"/>
      <c r="O197" s="29"/>
      <c r="P197" s="29"/>
      <c r="Q197" s="29"/>
      <c r="R197" s="29"/>
      <c r="S197" s="29"/>
      <c r="T197" s="42"/>
      <c r="U197" s="40" t="s">
        <v>2742</v>
      </c>
    </row>
    <row r="198" s="9" customFormat="1" ht="18.5" customHeight="1" outlineLevel="1" spans="1:21">
      <c r="A198" s="24" t="s">
        <v>831</v>
      </c>
      <c r="B198" s="25" t="s">
        <v>832</v>
      </c>
      <c r="C198" s="26">
        <f t="shared" si="35"/>
        <v>5</v>
      </c>
      <c r="D198" s="29"/>
      <c r="E198" s="29">
        <v>5</v>
      </c>
      <c r="F198" s="29"/>
      <c r="G198" s="26">
        <f t="shared" si="36"/>
        <v>7</v>
      </c>
      <c r="H198" s="26">
        <f t="shared" si="37"/>
        <v>5</v>
      </c>
      <c r="I198" s="29"/>
      <c r="J198" s="29"/>
      <c r="K198" s="29">
        <v>5</v>
      </c>
      <c r="L198" s="29"/>
      <c r="M198" s="29"/>
      <c r="N198" s="29"/>
      <c r="O198" s="29"/>
      <c r="P198" s="29"/>
      <c r="Q198" s="29">
        <v>2</v>
      </c>
      <c r="R198" s="29">
        <v>3</v>
      </c>
      <c r="S198" s="29"/>
      <c r="T198" s="42"/>
      <c r="U198" s="40" t="s">
        <v>2742</v>
      </c>
    </row>
    <row r="199" ht="18.5" customHeight="1" outlineLevel="2" spans="1:21">
      <c r="A199" s="24" t="s">
        <v>833</v>
      </c>
      <c r="B199" s="25" t="s">
        <v>834</v>
      </c>
      <c r="C199" s="26">
        <f t="shared" si="35"/>
        <v>6</v>
      </c>
      <c r="D199" s="29"/>
      <c r="E199" s="29">
        <v>6</v>
      </c>
      <c r="F199" s="29"/>
      <c r="G199" s="26">
        <f t="shared" si="36"/>
        <v>6</v>
      </c>
      <c r="H199" s="26">
        <f t="shared" si="37"/>
        <v>6</v>
      </c>
      <c r="I199" s="29"/>
      <c r="J199" s="29"/>
      <c r="K199" s="29">
        <v>6</v>
      </c>
      <c r="L199" s="29"/>
      <c r="M199" s="29"/>
      <c r="N199" s="29"/>
      <c r="O199" s="29"/>
      <c r="P199" s="29"/>
      <c r="Q199" s="29"/>
      <c r="R199" s="29"/>
      <c r="S199" s="29"/>
      <c r="T199" s="42"/>
      <c r="U199" s="40" t="s">
        <v>2742</v>
      </c>
    </row>
    <row r="200" ht="18.5" customHeight="1" outlineLevel="2" spans="1:21">
      <c r="A200" s="24" t="s">
        <v>835</v>
      </c>
      <c r="B200" s="25" t="s">
        <v>836</v>
      </c>
      <c r="C200" s="26">
        <f t="shared" si="35"/>
        <v>6</v>
      </c>
      <c r="D200" s="29"/>
      <c r="E200" s="29">
        <v>6</v>
      </c>
      <c r="F200" s="29"/>
      <c r="G200" s="26">
        <f t="shared" si="36"/>
        <v>6</v>
      </c>
      <c r="H200" s="26">
        <f t="shared" si="37"/>
        <v>6</v>
      </c>
      <c r="I200" s="29"/>
      <c r="J200" s="29"/>
      <c r="K200" s="29">
        <v>6</v>
      </c>
      <c r="L200" s="29"/>
      <c r="M200" s="29"/>
      <c r="N200" s="29"/>
      <c r="O200" s="29"/>
      <c r="P200" s="29"/>
      <c r="Q200" s="29"/>
      <c r="R200" s="29"/>
      <c r="S200" s="29"/>
      <c r="T200" s="42"/>
      <c r="U200" s="40" t="s">
        <v>2742</v>
      </c>
    </row>
    <row r="201" ht="18.5" customHeight="1" outlineLevel="2" spans="1:21">
      <c r="A201" s="21" t="s">
        <v>2744</v>
      </c>
      <c r="B201" s="27" t="s">
        <v>837</v>
      </c>
      <c r="C201" s="23">
        <f t="shared" ref="C201:S201" si="38">SUM(C202:C207)</f>
        <v>77</v>
      </c>
      <c r="D201" s="23">
        <f t="shared" si="38"/>
        <v>50</v>
      </c>
      <c r="E201" s="23">
        <f t="shared" si="38"/>
        <v>27</v>
      </c>
      <c r="F201" s="23">
        <f t="shared" si="38"/>
        <v>0</v>
      </c>
      <c r="G201" s="23">
        <f t="shared" si="38"/>
        <v>117</v>
      </c>
      <c r="H201" s="23">
        <f t="shared" si="38"/>
        <v>72</v>
      </c>
      <c r="I201" s="23">
        <f t="shared" si="38"/>
        <v>49</v>
      </c>
      <c r="J201" s="23">
        <f t="shared" si="38"/>
        <v>0</v>
      </c>
      <c r="K201" s="23">
        <f t="shared" si="38"/>
        <v>23</v>
      </c>
      <c r="L201" s="23">
        <f t="shared" si="38"/>
        <v>0</v>
      </c>
      <c r="M201" s="23">
        <f t="shared" si="38"/>
        <v>0</v>
      </c>
      <c r="N201" s="23">
        <f t="shared" si="38"/>
        <v>0</v>
      </c>
      <c r="O201" s="23">
        <f t="shared" si="38"/>
        <v>0</v>
      </c>
      <c r="P201" s="23">
        <f t="shared" si="38"/>
        <v>0</v>
      </c>
      <c r="Q201" s="23">
        <f t="shared" si="38"/>
        <v>45</v>
      </c>
      <c r="R201" s="23">
        <f t="shared" si="38"/>
        <v>7</v>
      </c>
      <c r="S201" s="23">
        <f t="shared" si="38"/>
        <v>0</v>
      </c>
      <c r="T201" s="35"/>
      <c r="U201" s="46" t="s">
        <v>2708</v>
      </c>
    </row>
    <row r="202" ht="18.5" customHeight="1" outlineLevel="2" spans="1:21">
      <c r="A202" s="24" t="s">
        <v>838</v>
      </c>
      <c r="B202" s="25" t="s">
        <v>2235</v>
      </c>
      <c r="C202" s="26">
        <f t="shared" ref="C202:C207" si="39">SUM(D202:E202)</f>
        <v>50</v>
      </c>
      <c r="D202" s="29">
        <v>50</v>
      </c>
      <c r="E202" s="29"/>
      <c r="F202" s="29"/>
      <c r="G202" s="26">
        <f t="shared" ref="G202:G207" si="40">SUM(P202,Q202,H202)</f>
        <v>83</v>
      </c>
      <c r="H202" s="26">
        <f t="shared" ref="H202:H207" si="41">SUM(I202:O202)</f>
        <v>49</v>
      </c>
      <c r="I202" s="29">
        <v>49</v>
      </c>
      <c r="J202" s="29"/>
      <c r="K202" s="29"/>
      <c r="L202" s="29"/>
      <c r="M202" s="29"/>
      <c r="N202" s="29"/>
      <c r="O202" s="29"/>
      <c r="P202" s="29"/>
      <c r="Q202" s="29">
        <v>34</v>
      </c>
      <c r="R202" s="29">
        <v>7</v>
      </c>
      <c r="S202" s="29"/>
      <c r="T202" s="42"/>
      <c r="U202" s="40" t="s">
        <v>2740</v>
      </c>
    </row>
    <row r="203" ht="18.5" customHeight="1" outlineLevel="2" spans="1:21">
      <c r="A203" s="24" t="s">
        <v>840</v>
      </c>
      <c r="B203" s="25" t="s">
        <v>841</v>
      </c>
      <c r="C203" s="26">
        <f t="shared" si="39"/>
        <v>15</v>
      </c>
      <c r="D203" s="29"/>
      <c r="E203" s="29">
        <v>15</v>
      </c>
      <c r="F203" s="29"/>
      <c r="G203" s="26">
        <f t="shared" si="40"/>
        <v>20</v>
      </c>
      <c r="H203" s="26">
        <f t="shared" si="41"/>
        <v>12</v>
      </c>
      <c r="I203" s="29"/>
      <c r="J203" s="29"/>
      <c r="K203" s="29">
        <v>12</v>
      </c>
      <c r="L203" s="29"/>
      <c r="M203" s="29"/>
      <c r="N203" s="29"/>
      <c r="O203" s="29"/>
      <c r="P203" s="29"/>
      <c r="Q203" s="29">
        <v>8</v>
      </c>
      <c r="R203" s="29"/>
      <c r="S203" s="29"/>
      <c r="T203" s="42"/>
      <c r="U203" s="40" t="s">
        <v>2741</v>
      </c>
    </row>
    <row r="204" ht="18.5" customHeight="1" outlineLevel="2" spans="1:21">
      <c r="A204" s="24" t="s">
        <v>842</v>
      </c>
      <c r="B204" s="25" t="s">
        <v>2745</v>
      </c>
      <c r="C204" s="26">
        <f t="shared" si="39"/>
        <v>1</v>
      </c>
      <c r="D204" s="29"/>
      <c r="E204" s="29">
        <v>1</v>
      </c>
      <c r="F204" s="29"/>
      <c r="G204" s="26">
        <f t="shared" si="40"/>
        <v>1</v>
      </c>
      <c r="H204" s="26">
        <f t="shared" si="41"/>
        <v>1</v>
      </c>
      <c r="I204" s="29"/>
      <c r="J204" s="29"/>
      <c r="K204" s="29">
        <v>1</v>
      </c>
      <c r="L204" s="29"/>
      <c r="M204" s="29"/>
      <c r="N204" s="29"/>
      <c r="O204" s="29"/>
      <c r="P204" s="29"/>
      <c r="Q204" s="29"/>
      <c r="R204" s="29"/>
      <c r="S204" s="29"/>
      <c r="T204" s="42"/>
      <c r="U204" s="40" t="s">
        <v>2742</v>
      </c>
    </row>
    <row r="205" s="9" customFormat="1" ht="18.5" customHeight="1" outlineLevel="1" spans="1:21">
      <c r="A205" s="24" t="s">
        <v>844</v>
      </c>
      <c r="B205" s="25" t="s">
        <v>845</v>
      </c>
      <c r="C205" s="26">
        <f t="shared" si="39"/>
        <v>4</v>
      </c>
      <c r="D205" s="29"/>
      <c r="E205" s="29">
        <v>4</v>
      </c>
      <c r="F205" s="29"/>
      <c r="G205" s="26">
        <f t="shared" si="40"/>
        <v>6</v>
      </c>
      <c r="H205" s="26">
        <f t="shared" si="41"/>
        <v>4</v>
      </c>
      <c r="I205" s="29"/>
      <c r="J205" s="29"/>
      <c r="K205" s="29">
        <v>4</v>
      </c>
      <c r="L205" s="29"/>
      <c r="M205" s="29"/>
      <c r="N205" s="29"/>
      <c r="O205" s="29"/>
      <c r="P205" s="29"/>
      <c r="Q205" s="29">
        <v>2</v>
      </c>
      <c r="R205" s="29"/>
      <c r="S205" s="29"/>
      <c r="T205" s="42"/>
      <c r="U205" s="40" t="s">
        <v>2742</v>
      </c>
    </row>
    <row r="206" ht="18.5" customHeight="1" outlineLevel="2" spans="1:21">
      <c r="A206" s="24" t="s">
        <v>846</v>
      </c>
      <c r="B206" s="25" t="s">
        <v>847</v>
      </c>
      <c r="C206" s="26">
        <f t="shared" si="39"/>
        <v>5</v>
      </c>
      <c r="D206" s="29"/>
      <c r="E206" s="29">
        <v>5</v>
      </c>
      <c r="F206" s="29"/>
      <c r="G206" s="26">
        <f t="shared" si="40"/>
        <v>5</v>
      </c>
      <c r="H206" s="26">
        <f t="shared" si="41"/>
        <v>4</v>
      </c>
      <c r="I206" s="29"/>
      <c r="J206" s="29"/>
      <c r="K206" s="29">
        <v>4</v>
      </c>
      <c r="L206" s="29"/>
      <c r="M206" s="29"/>
      <c r="N206" s="29"/>
      <c r="O206" s="29"/>
      <c r="P206" s="29"/>
      <c r="Q206" s="29">
        <v>1</v>
      </c>
      <c r="R206" s="29"/>
      <c r="S206" s="29"/>
      <c r="T206" s="42"/>
      <c r="U206" s="40" t="s">
        <v>2742</v>
      </c>
    </row>
    <row r="207" ht="18.5" customHeight="1" outlineLevel="2" spans="1:21">
      <c r="A207" s="24" t="s">
        <v>848</v>
      </c>
      <c r="B207" s="25" t="s">
        <v>849</v>
      </c>
      <c r="C207" s="26">
        <f t="shared" si="39"/>
        <v>2</v>
      </c>
      <c r="D207" s="29"/>
      <c r="E207" s="29">
        <v>2</v>
      </c>
      <c r="F207" s="29"/>
      <c r="G207" s="26">
        <f t="shared" si="40"/>
        <v>2</v>
      </c>
      <c r="H207" s="26">
        <f t="shared" si="41"/>
        <v>2</v>
      </c>
      <c r="I207" s="29"/>
      <c r="J207" s="29"/>
      <c r="K207" s="29">
        <v>2</v>
      </c>
      <c r="L207" s="29"/>
      <c r="M207" s="29"/>
      <c r="N207" s="29"/>
      <c r="O207" s="29"/>
      <c r="P207" s="29"/>
      <c r="Q207" s="29"/>
      <c r="R207" s="29"/>
      <c r="S207" s="29"/>
      <c r="T207" s="42"/>
      <c r="U207" s="40" t="s">
        <v>2742</v>
      </c>
    </row>
    <row r="208" ht="18.5" customHeight="1" outlineLevel="2" spans="1:21">
      <c r="A208" s="21" t="s">
        <v>2746</v>
      </c>
      <c r="B208" s="27" t="s">
        <v>850</v>
      </c>
      <c r="C208" s="23">
        <f t="shared" ref="C208:T208" si="42">SUM(C209:C213)</f>
        <v>55</v>
      </c>
      <c r="D208" s="23">
        <f t="shared" si="42"/>
        <v>35</v>
      </c>
      <c r="E208" s="23">
        <f t="shared" si="42"/>
        <v>20</v>
      </c>
      <c r="F208" s="23">
        <f t="shared" si="42"/>
        <v>0</v>
      </c>
      <c r="G208" s="23">
        <f t="shared" si="42"/>
        <v>84</v>
      </c>
      <c r="H208" s="23">
        <f t="shared" si="42"/>
        <v>53</v>
      </c>
      <c r="I208" s="23">
        <f t="shared" si="42"/>
        <v>35</v>
      </c>
      <c r="J208" s="23">
        <f t="shared" si="42"/>
        <v>0</v>
      </c>
      <c r="K208" s="23">
        <f t="shared" si="42"/>
        <v>18</v>
      </c>
      <c r="L208" s="23">
        <f t="shared" si="42"/>
        <v>0</v>
      </c>
      <c r="M208" s="23">
        <f t="shared" si="42"/>
        <v>0</v>
      </c>
      <c r="N208" s="23">
        <f t="shared" si="42"/>
        <v>0</v>
      </c>
      <c r="O208" s="23">
        <f t="shared" si="42"/>
        <v>0</v>
      </c>
      <c r="P208" s="23">
        <f t="shared" si="42"/>
        <v>0</v>
      </c>
      <c r="Q208" s="23">
        <f t="shared" si="42"/>
        <v>31</v>
      </c>
      <c r="R208" s="23">
        <f t="shared" si="42"/>
        <v>7</v>
      </c>
      <c r="S208" s="23">
        <f t="shared" si="42"/>
        <v>0</v>
      </c>
      <c r="T208" s="23">
        <f t="shared" si="42"/>
        <v>0</v>
      </c>
      <c r="U208" s="46" t="s">
        <v>2708</v>
      </c>
    </row>
    <row r="209" ht="18.5" customHeight="1" outlineLevel="2" spans="1:21">
      <c r="A209" s="24" t="s">
        <v>851</v>
      </c>
      <c r="B209" s="25" t="s">
        <v>2236</v>
      </c>
      <c r="C209" s="26">
        <f t="shared" ref="C209:C213" si="43">SUM(D209:E209)</f>
        <v>35</v>
      </c>
      <c r="D209" s="29">
        <v>35</v>
      </c>
      <c r="E209" s="29"/>
      <c r="F209" s="29"/>
      <c r="G209" s="26">
        <f t="shared" ref="G209:G213" si="44">SUM(P209,Q209,H209)</f>
        <v>58</v>
      </c>
      <c r="H209" s="26">
        <f t="shared" ref="H209:H213" si="45">SUM(I209:O209)</f>
        <v>35</v>
      </c>
      <c r="I209" s="29">
        <v>35</v>
      </c>
      <c r="J209" s="29"/>
      <c r="K209" s="29"/>
      <c r="L209" s="29"/>
      <c r="M209" s="29"/>
      <c r="N209" s="29"/>
      <c r="O209" s="29"/>
      <c r="P209" s="29"/>
      <c r="Q209" s="29">
        <v>23</v>
      </c>
      <c r="R209" s="29">
        <v>6</v>
      </c>
      <c r="S209" s="29"/>
      <c r="T209" s="42"/>
      <c r="U209" s="40" t="s">
        <v>2740</v>
      </c>
    </row>
    <row r="210" ht="18.5" customHeight="1" outlineLevel="2" spans="1:21">
      <c r="A210" s="24" t="s">
        <v>853</v>
      </c>
      <c r="B210" s="25" t="s">
        <v>854</v>
      </c>
      <c r="C210" s="26">
        <f t="shared" si="43"/>
        <v>15</v>
      </c>
      <c r="D210" s="29"/>
      <c r="E210" s="29">
        <v>15</v>
      </c>
      <c r="F210" s="29"/>
      <c r="G210" s="26">
        <f t="shared" si="44"/>
        <v>21</v>
      </c>
      <c r="H210" s="26">
        <f t="shared" si="45"/>
        <v>13</v>
      </c>
      <c r="I210" s="29"/>
      <c r="J210" s="29"/>
      <c r="K210" s="29">
        <v>13</v>
      </c>
      <c r="L210" s="29"/>
      <c r="M210" s="29"/>
      <c r="N210" s="29"/>
      <c r="O210" s="29"/>
      <c r="P210" s="29"/>
      <c r="Q210" s="29">
        <v>8</v>
      </c>
      <c r="R210" s="29">
        <v>1</v>
      </c>
      <c r="S210" s="29"/>
      <c r="T210" s="42"/>
      <c r="U210" s="40" t="s">
        <v>2741</v>
      </c>
    </row>
    <row r="211" s="9" customFormat="1" ht="18.5" customHeight="1" outlineLevel="1" spans="1:21">
      <c r="A211" s="24" t="s">
        <v>855</v>
      </c>
      <c r="B211" s="25" t="s">
        <v>856</v>
      </c>
      <c r="C211" s="26">
        <f t="shared" si="43"/>
        <v>1</v>
      </c>
      <c r="D211" s="29"/>
      <c r="E211" s="29">
        <v>1</v>
      </c>
      <c r="F211" s="29"/>
      <c r="G211" s="26">
        <f t="shared" si="44"/>
        <v>1</v>
      </c>
      <c r="H211" s="26">
        <f t="shared" si="45"/>
        <v>1</v>
      </c>
      <c r="I211" s="29"/>
      <c r="J211" s="29"/>
      <c r="K211" s="29">
        <v>1</v>
      </c>
      <c r="L211" s="29"/>
      <c r="M211" s="29"/>
      <c r="N211" s="29"/>
      <c r="O211" s="29"/>
      <c r="P211" s="29"/>
      <c r="Q211" s="29"/>
      <c r="R211" s="29"/>
      <c r="S211" s="29"/>
      <c r="T211" s="42"/>
      <c r="U211" s="40" t="s">
        <v>2742</v>
      </c>
    </row>
    <row r="212" ht="18.5" customHeight="1" outlineLevel="2" spans="1:21">
      <c r="A212" s="24" t="s">
        <v>857</v>
      </c>
      <c r="B212" s="25" t="s">
        <v>858</v>
      </c>
      <c r="C212" s="26">
        <f t="shared" si="43"/>
        <v>2</v>
      </c>
      <c r="D212" s="29"/>
      <c r="E212" s="29">
        <v>2</v>
      </c>
      <c r="F212" s="29"/>
      <c r="G212" s="26">
        <f t="shared" si="44"/>
        <v>2</v>
      </c>
      <c r="H212" s="26">
        <f t="shared" si="45"/>
        <v>2</v>
      </c>
      <c r="I212" s="29"/>
      <c r="J212" s="29"/>
      <c r="K212" s="29">
        <v>2</v>
      </c>
      <c r="L212" s="29"/>
      <c r="M212" s="29"/>
      <c r="N212" s="29"/>
      <c r="O212" s="29"/>
      <c r="P212" s="29"/>
      <c r="Q212" s="29"/>
      <c r="R212" s="29"/>
      <c r="S212" s="29"/>
      <c r="T212" s="42"/>
      <c r="U212" s="40" t="s">
        <v>2742</v>
      </c>
    </row>
    <row r="213" ht="18.5" customHeight="1" outlineLevel="2" spans="1:21">
      <c r="A213" s="24" t="s">
        <v>859</v>
      </c>
      <c r="B213" s="25" t="s">
        <v>860</v>
      </c>
      <c r="C213" s="26">
        <f t="shared" si="43"/>
        <v>2</v>
      </c>
      <c r="D213" s="29"/>
      <c r="E213" s="29">
        <v>2</v>
      </c>
      <c r="F213" s="29"/>
      <c r="G213" s="26">
        <f t="shared" si="44"/>
        <v>2</v>
      </c>
      <c r="H213" s="26">
        <f t="shared" si="45"/>
        <v>2</v>
      </c>
      <c r="I213" s="29"/>
      <c r="J213" s="29"/>
      <c r="K213" s="29">
        <v>2</v>
      </c>
      <c r="L213" s="29"/>
      <c r="M213" s="29"/>
      <c r="N213" s="29"/>
      <c r="O213" s="29"/>
      <c r="P213" s="29"/>
      <c r="Q213" s="29"/>
      <c r="R213" s="29"/>
      <c r="S213" s="29"/>
      <c r="T213" s="42"/>
      <c r="U213" s="40" t="s">
        <v>2742</v>
      </c>
    </row>
    <row r="214" ht="18.5" customHeight="1" outlineLevel="2" spans="1:21">
      <c r="A214" s="21" t="s">
        <v>2747</v>
      </c>
      <c r="B214" s="27" t="s">
        <v>861</v>
      </c>
      <c r="C214" s="23">
        <f t="shared" ref="C214:S214" si="46">SUM(C215:C221)</f>
        <v>91</v>
      </c>
      <c r="D214" s="23">
        <f t="shared" si="46"/>
        <v>54</v>
      </c>
      <c r="E214" s="23">
        <f t="shared" si="46"/>
        <v>37</v>
      </c>
      <c r="F214" s="23">
        <f t="shared" si="46"/>
        <v>0</v>
      </c>
      <c r="G214" s="23">
        <f t="shared" si="46"/>
        <v>144</v>
      </c>
      <c r="H214" s="23">
        <f t="shared" si="46"/>
        <v>91</v>
      </c>
      <c r="I214" s="23">
        <f t="shared" si="46"/>
        <v>54</v>
      </c>
      <c r="J214" s="23">
        <f t="shared" si="46"/>
        <v>0</v>
      </c>
      <c r="K214" s="23">
        <f t="shared" si="46"/>
        <v>37</v>
      </c>
      <c r="L214" s="23">
        <f t="shared" si="46"/>
        <v>0</v>
      </c>
      <c r="M214" s="23">
        <f t="shared" si="46"/>
        <v>0</v>
      </c>
      <c r="N214" s="23">
        <f t="shared" si="46"/>
        <v>0</v>
      </c>
      <c r="O214" s="23">
        <f t="shared" si="46"/>
        <v>0</v>
      </c>
      <c r="P214" s="23">
        <f t="shared" si="46"/>
        <v>0</v>
      </c>
      <c r="Q214" s="23">
        <f t="shared" si="46"/>
        <v>53</v>
      </c>
      <c r="R214" s="23">
        <f t="shared" si="46"/>
        <v>14</v>
      </c>
      <c r="S214" s="23">
        <f t="shared" si="46"/>
        <v>0</v>
      </c>
      <c r="T214" s="23"/>
      <c r="U214" s="46" t="s">
        <v>2708</v>
      </c>
    </row>
    <row r="215" ht="18.5" customHeight="1" outlineLevel="2" spans="1:21">
      <c r="A215" s="24" t="s">
        <v>862</v>
      </c>
      <c r="B215" s="25" t="s">
        <v>2237</v>
      </c>
      <c r="C215" s="26">
        <f t="shared" ref="C215:C221" si="47">SUM(D215:E215)</f>
        <v>54</v>
      </c>
      <c r="D215" s="29">
        <v>54</v>
      </c>
      <c r="E215" s="29"/>
      <c r="F215" s="29"/>
      <c r="G215" s="26">
        <f t="shared" ref="G215:G221" si="48">SUM(P215,Q215,H215)</f>
        <v>101</v>
      </c>
      <c r="H215" s="26">
        <f t="shared" ref="H215:H221" si="49">SUM(I215:O215)</f>
        <v>54</v>
      </c>
      <c r="I215" s="29">
        <v>54</v>
      </c>
      <c r="J215" s="29"/>
      <c r="K215" s="29"/>
      <c r="L215" s="29"/>
      <c r="M215" s="29"/>
      <c r="N215" s="29"/>
      <c r="O215" s="29"/>
      <c r="P215" s="29"/>
      <c r="Q215" s="29">
        <v>47</v>
      </c>
      <c r="R215" s="29">
        <v>12</v>
      </c>
      <c r="S215" s="29"/>
      <c r="T215" s="42"/>
      <c r="U215" s="40" t="s">
        <v>2740</v>
      </c>
    </row>
    <row r="216" ht="18.5" customHeight="1" outlineLevel="2" spans="1:21">
      <c r="A216" s="24" t="s">
        <v>864</v>
      </c>
      <c r="B216" s="25" t="s">
        <v>865</v>
      </c>
      <c r="C216" s="26">
        <f t="shared" si="47"/>
        <v>15</v>
      </c>
      <c r="D216" s="29"/>
      <c r="E216" s="29">
        <v>15</v>
      </c>
      <c r="F216" s="29"/>
      <c r="G216" s="26">
        <f t="shared" si="48"/>
        <v>18</v>
      </c>
      <c r="H216" s="26">
        <f t="shared" si="49"/>
        <v>13</v>
      </c>
      <c r="I216" s="29"/>
      <c r="J216" s="29"/>
      <c r="K216" s="29">
        <v>13</v>
      </c>
      <c r="L216" s="29"/>
      <c r="M216" s="29"/>
      <c r="N216" s="29"/>
      <c r="O216" s="29"/>
      <c r="P216" s="29"/>
      <c r="Q216" s="29">
        <v>5</v>
      </c>
      <c r="R216" s="29">
        <v>2</v>
      </c>
      <c r="S216" s="29"/>
      <c r="T216" s="42"/>
      <c r="U216" s="40" t="s">
        <v>2741</v>
      </c>
    </row>
    <row r="217" ht="18.5" customHeight="1" outlineLevel="2" spans="1:21">
      <c r="A217" s="24" t="s">
        <v>866</v>
      </c>
      <c r="B217" s="25" t="s">
        <v>2748</v>
      </c>
      <c r="C217" s="26">
        <f t="shared" si="47"/>
        <v>1</v>
      </c>
      <c r="D217" s="29"/>
      <c r="E217" s="29">
        <v>1</v>
      </c>
      <c r="F217" s="29"/>
      <c r="G217" s="26">
        <f t="shared" si="48"/>
        <v>1</v>
      </c>
      <c r="H217" s="26">
        <f t="shared" si="49"/>
        <v>1</v>
      </c>
      <c r="I217" s="29"/>
      <c r="J217" s="29"/>
      <c r="K217" s="29">
        <v>1</v>
      </c>
      <c r="L217" s="29"/>
      <c r="M217" s="29"/>
      <c r="N217" s="29"/>
      <c r="O217" s="29"/>
      <c r="P217" s="29"/>
      <c r="Q217" s="29"/>
      <c r="R217" s="29"/>
      <c r="S217" s="29"/>
      <c r="T217" s="42"/>
      <c r="U217" s="40" t="s">
        <v>2742</v>
      </c>
    </row>
    <row r="218" ht="18.5" customHeight="1" outlineLevel="2" spans="1:21">
      <c r="A218" s="24" t="s">
        <v>868</v>
      </c>
      <c r="B218" s="25" t="s">
        <v>869</v>
      </c>
      <c r="C218" s="26">
        <f t="shared" si="47"/>
        <v>6</v>
      </c>
      <c r="D218" s="29"/>
      <c r="E218" s="29">
        <v>6</v>
      </c>
      <c r="F218" s="29"/>
      <c r="G218" s="26">
        <f t="shared" si="48"/>
        <v>7</v>
      </c>
      <c r="H218" s="26">
        <f t="shared" si="49"/>
        <v>6</v>
      </c>
      <c r="I218" s="29"/>
      <c r="J218" s="29"/>
      <c r="K218" s="29">
        <v>6</v>
      </c>
      <c r="L218" s="29"/>
      <c r="M218" s="29"/>
      <c r="N218" s="29"/>
      <c r="O218" s="29"/>
      <c r="P218" s="29"/>
      <c r="Q218" s="29">
        <v>1</v>
      </c>
      <c r="R218" s="29"/>
      <c r="S218" s="29"/>
      <c r="T218" s="42"/>
      <c r="U218" s="40" t="s">
        <v>2742</v>
      </c>
    </row>
    <row r="219" s="9" customFormat="1" ht="18.5" customHeight="1" outlineLevel="1" spans="1:21">
      <c r="A219" s="24" t="s">
        <v>870</v>
      </c>
      <c r="B219" s="25" t="s">
        <v>871</v>
      </c>
      <c r="C219" s="26">
        <f t="shared" si="47"/>
        <v>5</v>
      </c>
      <c r="D219" s="29"/>
      <c r="E219" s="29">
        <v>5</v>
      </c>
      <c r="F219" s="29"/>
      <c r="G219" s="26">
        <f t="shared" si="48"/>
        <v>6</v>
      </c>
      <c r="H219" s="26">
        <f t="shared" si="49"/>
        <v>6</v>
      </c>
      <c r="I219" s="29"/>
      <c r="J219" s="29"/>
      <c r="K219" s="29">
        <v>6</v>
      </c>
      <c r="L219" s="29"/>
      <c r="M219" s="29"/>
      <c r="N219" s="29"/>
      <c r="O219" s="29"/>
      <c r="P219" s="29"/>
      <c r="Q219" s="29"/>
      <c r="R219" s="29"/>
      <c r="S219" s="29"/>
      <c r="T219" s="42"/>
      <c r="U219" s="40" t="s">
        <v>2742</v>
      </c>
    </row>
    <row r="220" ht="18.5" customHeight="1" outlineLevel="2" spans="1:21">
      <c r="A220" s="24" t="s">
        <v>872</v>
      </c>
      <c r="B220" s="25" t="s">
        <v>873</v>
      </c>
      <c r="C220" s="26">
        <f t="shared" si="47"/>
        <v>8</v>
      </c>
      <c r="D220" s="29"/>
      <c r="E220" s="29">
        <v>8</v>
      </c>
      <c r="F220" s="29"/>
      <c r="G220" s="26">
        <f t="shared" si="48"/>
        <v>9</v>
      </c>
      <c r="H220" s="26">
        <f t="shared" si="49"/>
        <v>9</v>
      </c>
      <c r="I220" s="29"/>
      <c r="J220" s="29"/>
      <c r="K220" s="29">
        <v>9</v>
      </c>
      <c r="L220" s="29"/>
      <c r="M220" s="29"/>
      <c r="N220" s="29"/>
      <c r="O220" s="29"/>
      <c r="P220" s="29"/>
      <c r="Q220" s="29"/>
      <c r="R220" s="29"/>
      <c r="S220" s="29"/>
      <c r="T220" s="42"/>
      <c r="U220" s="40" t="s">
        <v>2742</v>
      </c>
    </row>
    <row r="221" ht="18.5" customHeight="1" outlineLevel="2" spans="1:21">
      <c r="A221" s="24" t="s">
        <v>874</v>
      </c>
      <c r="B221" s="25" t="s">
        <v>875</v>
      </c>
      <c r="C221" s="26">
        <f t="shared" si="47"/>
        <v>2</v>
      </c>
      <c r="D221" s="29"/>
      <c r="E221" s="29">
        <v>2</v>
      </c>
      <c r="F221" s="29"/>
      <c r="G221" s="26">
        <f t="shared" si="48"/>
        <v>2</v>
      </c>
      <c r="H221" s="26">
        <f t="shared" si="49"/>
        <v>2</v>
      </c>
      <c r="I221" s="29"/>
      <c r="J221" s="29"/>
      <c r="K221" s="29">
        <v>2</v>
      </c>
      <c r="L221" s="29"/>
      <c r="M221" s="29"/>
      <c r="N221" s="29"/>
      <c r="O221" s="29"/>
      <c r="P221" s="29"/>
      <c r="Q221" s="29"/>
      <c r="R221" s="29"/>
      <c r="S221" s="29"/>
      <c r="T221" s="42"/>
      <c r="U221" s="40" t="s">
        <v>2742</v>
      </c>
    </row>
    <row r="222" ht="18.5" customHeight="1" outlineLevel="2" spans="1:21">
      <c r="A222" s="21" t="s">
        <v>2749</v>
      </c>
      <c r="B222" s="27" t="s">
        <v>876</v>
      </c>
      <c r="C222" s="23">
        <f t="shared" ref="C222:S222" si="50">SUM(C223:C227)</f>
        <v>56</v>
      </c>
      <c r="D222" s="23">
        <f t="shared" si="50"/>
        <v>35</v>
      </c>
      <c r="E222" s="23">
        <f t="shared" si="50"/>
        <v>21</v>
      </c>
      <c r="F222" s="23">
        <f t="shared" si="50"/>
        <v>0</v>
      </c>
      <c r="G222" s="23">
        <f t="shared" si="50"/>
        <v>76</v>
      </c>
      <c r="H222" s="23">
        <f t="shared" si="50"/>
        <v>51</v>
      </c>
      <c r="I222" s="23">
        <f t="shared" si="50"/>
        <v>33</v>
      </c>
      <c r="J222" s="23">
        <f t="shared" si="50"/>
        <v>0</v>
      </c>
      <c r="K222" s="23">
        <f t="shared" si="50"/>
        <v>18</v>
      </c>
      <c r="L222" s="23">
        <f t="shared" si="50"/>
        <v>0</v>
      </c>
      <c r="M222" s="23">
        <f t="shared" si="50"/>
        <v>0</v>
      </c>
      <c r="N222" s="23">
        <f t="shared" si="50"/>
        <v>0</v>
      </c>
      <c r="O222" s="23">
        <f t="shared" si="50"/>
        <v>0</v>
      </c>
      <c r="P222" s="23">
        <f t="shared" si="50"/>
        <v>0</v>
      </c>
      <c r="Q222" s="23">
        <f t="shared" si="50"/>
        <v>25</v>
      </c>
      <c r="R222" s="23">
        <f t="shared" si="50"/>
        <v>0</v>
      </c>
      <c r="S222" s="23">
        <f t="shared" si="50"/>
        <v>0</v>
      </c>
      <c r="T222" s="35"/>
      <c r="U222" s="46" t="s">
        <v>2708</v>
      </c>
    </row>
    <row r="223" ht="18.5" customHeight="1" outlineLevel="2" spans="1:21">
      <c r="A223" s="24" t="s">
        <v>877</v>
      </c>
      <c r="B223" s="25" t="s">
        <v>2238</v>
      </c>
      <c r="C223" s="26">
        <f t="shared" ref="C223:C227" si="51">SUM(D223:E223)</f>
        <v>35</v>
      </c>
      <c r="D223" s="29">
        <v>35</v>
      </c>
      <c r="E223" s="29"/>
      <c r="F223" s="29"/>
      <c r="G223" s="26">
        <f t="shared" ref="G223:G227" si="52">SUM(P223,Q223,H223)</f>
        <v>55</v>
      </c>
      <c r="H223" s="26">
        <f t="shared" ref="H223:H227" si="53">SUM(I223:O223)</f>
        <v>33</v>
      </c>
      <c r="I223" s="29">
        <v>33</v>
      </c>
      <c r="J223" s="29"/>
      <c r="K223" s="29"/>
      <c r="L223" s="29"/>
      <c r="M223" s="29"/>
      <c r="N223" s="29"/>
      <c r="O223" s="29"/>
      <c r="P223" s="29"/>
      <c r="Q223" s="29">
        <v>22</v>
      </c>
      <c r="R223" s="29"/>
      <c r="S223" s="29"/>
      <c r="T223" s="42"/>
      <c r="U223" s="40" t="s">
        <v>2740</v>
      </c>
    </row>
    <row r="224" ht="18.5" customHeight="1" outlineLevel="2" spans="1:21">
      <c r="A224" s="24" t="s">
        <v>879</v>
      </c>
      <c r="B224" s="25" t="s">
        <v>880</v>
      </c>
      <c r="C224" s="26">
        <f t="shared" si="51"/>
        <v>16</v>
      </c>
      <c r="D224" s="29"/>
      <c r="E224" s="29">
        <v>16</v>
      </c>
      <c r="F224" s="29"/>
      <c r="G224" s="26">
        <f t="shared" si="52"/>
        <v>16</v>
      </c>
      <c r="H224" s="26">
        <f t="shared" si="53"/>
        <v>13</v>
      </c>
      <c r="I224" s="29"/>
      <c r="J224" s="29"/>
      <c r="K224" s="29">
        <v>13</v>
      </c>
      <c r="L224" s="29"/>
      <c r="M224" s="29"/>
      <c r="N224" s="29"/>
      <c r="O224" s="29"/>
      <c r="P224" s="29"/>
      <c r="Q224" s="29">
        <v>3</v>
      </c>
      <c r="R224" s="29"/>
      <c r="S224" s="29"/>
      <c r="T224" s="42"/>
      <c r="U224" s="40" t="s">
        <v>2741</v>
      </c>
    </row>
    <row r="225" s="9" customFormat="1" ht="18.5" customHeight="1" outlineLevel="1" spans="1:21">
      <c r="A225" s="24" t="s">
        <v>881</v>
      </c>
      <c r="B225" s="25" t="s">
        <v>882</v>
      </c>
      <c r="C225" s="26">
        <f t="shared" si="51"/>
        <v>1</v>
      </c>
      <c r="D225" s="29"/>
      <c r="E225" s="29">
        <v>1</v>
      </c>
      <c r="F225" s="29"/>
      <c r="G225" s="26">
        <f t="shared" si="52"/>
        <v>1</v>
      </c>
      <c r="H225" s="26">
        <f t="shared" si="53"/>
        <v>1</v>
      </c>
      <c r="I225" s="29"/>
      <c r="J225" s="29"/>
      <c r="K225" s="29">
        <v>1</v>
      </c>
      <c r="L225" s="29"/>
      <c r="M225" s="29"/>
      <c r="N225" s="29"/>
      <c r="O225" s="29"/>
      <c r="P225" s="29"/>
      <c r="Q225" s="29"/>
      <c r="R225" s="29"/>
      <c r="S225" s="29"/>
      <c r="T225" s="42"/>
      <c r="U225" s="40" t="s">
        <v>2742</v>
      </c>
    </row>
    <row r="226" ht="18.5" customHeight="1" outlineLevel="2" spans="1:21">
      <c r="A226" s="24" t="s">
        <v>883</v>
      </c>
      <c r="B226" s="25" t="s">
        <v>884</v>
      </c>
      <c r="C226" s="26">
        <f t="shared" si="51"/>
        <v>2</v>
      </c>
      <c r="D226" s="29"/>
      <c r="E226" s="29">
        <v>2</v>
      </c>
      <c r="F226" s="29"/>
      <c r="G226" s="26">
        <f t="shared" si="52"/>
        <v>2</v>
      </c>
      <c r="H226" s="26">
        <f t="shared" si="53"/>
        <v>2</v>
      </c>
      <c r="I226" s="29"/>
      <c r="J226" s="29"/>
      <c r="K226" s="29">
        <v>2</v>
      </c>
      <c r="L226" s="29"/>
      <c r="M226" s="29"/>
      <c r="N226" s="29"/>
      <c r="O226" s="29"/>
      <c r="P226" s="29"/>
      <c r="Q226" s="29"/>
      <c r="R226" s="29"/>
      <c r="S226" s="29"/>
      <c r="T226" s="42"/>
      <c r="U226" s="40" t="s">
        <v>2742</v>
      </c>
    </row>
    <row r="227" ht="18.5" customHeight="1" outlineLevel="2" spans="1:21">
      <c r="A227" s="24" t="s">
        <v>885</v>
      </c>
      <c r="B227" s="25" t="s">
        <v>886</v>
      </c>
      <c r="C227" s="26">
        <f t="shared" si="51"/>
        <v>2</v>
      </c>
      <c r="D227" s="29"/>
      <c r="E227" s="29">
        <v>2</v>
      </c>
      <c r="F227" s="29"/>
      <c r="G227" s="26">
        <f t="shared" si="52"/>
        <v>2</v>
      </c>
      <c r="H227" s="26">
        <f t="shared" si="53"/>
        <v>2</v>
      </c>
      <c r="I227" s="29"/>
      <c r="J227" s="29"/>
      <c r="K227" s="29">
        <v>2</v>
      </c>
      <c r="L227" s="29"/>
      <c r="M227" s="29"/>
      <c r="N227" s="29"/>
      <c r="O227" s="29"/>
      <c r="P227" s="29"/>
      <c r="Q227" s="29"/>
      <c r="R227" s="29"/>
      <c r="S227" s="29"/>
      <c r="T227" s="42"/>
      <c r="U227" s="40" t="s">
        <v>2742</v>
      </c>
    </row>
    <row r="228" ht="18.5" customHeight="1" outlineLevel="2" spans="1:21">
      <c r="A228" s="21" t="s">
        <v>2750</v>
      </c>
      <c r="B228" s="27" t="s">
        <v>887</v>
      </c>
      <c r="C228" s="23">
        <f t="shared" ref="C228:S228" si="54">SUM(C229:C235)</f>
        <v>96</v>
      </c>
      <c r="D228" s="23">
        <f t="shared" si="54"/>
        <v>56</v>
      </c>
      <c r="E228" s="23">
        <f t="shared" si="54"/>
        <v>40</v>
      </c>
      <c r="F228" s="23">
        <f t="shared" si="54"/>
        <v>0</v>
      </c>
      <c r="G228" s="23">
        <f t="shared" si="54"/>
        <v>152</v>
      </c>
      <c r="H228" s="23">
        <f t="shared" si="54"/>
        <v>98</v>
      </c>
      <c r="I228" s="23">
        <f t="shared" si="54"/>
        <v>58</v>
      </c>
      <c r="J228" s="23">
        <f t="shared" si="54"/>
        <v>0</v>
      </c>
      <c r="K228" s="23">
        <f t="shared" si="54"/>
        <v>40</v>
      </c>
      <c r="L228" s="23">
        <f t="shared" si="54"/>
        <v>0</v>
      </c>
      <c r="M228" s="23">
        <f t="shared" si="54"/>
        <v>0</v>
      </c>
      <c r="N228" s="23">
        <f t="shared" si="54"/>
        <v>0</v>
      </c>
      <c r="O228" s="23">
        <f t="shared" si="54"/>
        <v>0</v>
      </c>
      <c r="P228" s="23">
        <f t="shared" si="54"/>
        <v>0</v>
      </c>
      <c r="Q228" s="23">
        <f t="shared" si="54"/>
        <v>54</v>
      </c>
      <c r="R228" s="23">
        <f t="shared" si="54"/>
        <v>0</v>
      </c>
      <c r="S228" s="23">
        <f t="shared" si="54"/>
        <v>0</v>
      </c>
      <c r="T228" s="35"/>
      <c r="U228" s="46" t="s">
        <v>2708</v>
      </c>
    </row>
    <row r="229" ht="18.5" customHeight="1" outlineLevel="2" spans="1:21">
      <c r="A229" s="24" t="s">
        <v>888</v>
      </c>
      <c r="B229" s="25" t="s">
        <v>2239</v>
      </c>
      <c r="C229" s="26">
        <f t="shared" ref="C229:C235" si="55">SUM(D229:E229)</f>
        <v>56</v>
      </c>
      <c r="D229" s="29">
        <v>56</v>
      </c>
      <c r="E229" s="29"/>
      <c r="F229" s="29"/>
      <c r="G229" s="26">
        <f t="shared" ref="G229:G235" si="56">SUM(P229,Q229,H229)</f>
        <v>106</v>
      </c>
      <c r="H229" s="26">
        <f t="shared" ref="H229:H235" si="57">SUM(I229:O229)</f>
        <v>58</v>
      </c>
      <c r="I229" s="29">
        <v>58</v>
      </c>
      <c r="J229" s="29"/>
      <c r="K229" s="29"/>
      <c r="L229" s="29"/>
      <c r="M229" s="29"/>
      <c r="N229" s="29"/>
      <c r="O229" s="29"/>
      <c r="P229" s="29"/>
      <c r="Q229" s="29">
        <v>48</v>
      </c>
      <c r="R229" s="29"/>
      <c r="S229" s="29"/>
      <c r="T229" s="42"/>
      <c r="U229" s="40" t="s">
        <v>2740</v>
      </c>
    </row>
    <row r="230" ht="18.5" customHeight="1" outlineLevel="2" spans="1:21">
      <c r="A230" s="24" t="s">
        <v>890</v>
      </c>
      <c r="B230" s="25" t="s">
        <v>891</v>
      </c>
      <c r="C230" s="26">
        <f t="shared" si="55"/>
        <v>15</v>
      </c>
      <c r="D230" s="29"/>
      <c r="E230" s="29">
        <v>15</v>
      </c>
      <c r="F230" s="29"/>
      <c r="G230" s="26">
        <f t="shared" si="56"/>
        <v>18</v>
      </c>
      <c r="H230" s="26">
        <f t="shared" si="57"/>
        <v>14</v>
      </c>
      <c r="I230" s="29"/>
      <c r="J230" s="29"/>
      <c r="K230" s="29">
        <v>14</v>
      </c>
      <c r="L230" s="29"/>
      <c r="M230" s="29"/>
      <c r="N230" s="29"/>
      <c r="O230" s="29"/>
      <c r="P230" s="29"/>
      <c r="Q230" s="29">
        <v>4</v>
      </c>
      <c r="R230" s="29"/>
      <c r="S230" s="29"/>
      <c r="T230" s="42"/>
      <c r="U230" s="40" t="s">
        <v>2741</v>
      </c>
    </row>
    <row r="231" ht="18.5" customHeight="1" outlineLevel="2" spans="1:21">
      <c r="A231" s="24" t="s">
        <v>892</v>
      </c>
      <c r="B231" s="25" t="s">
        <v>2751</v>
      </c>
      <c r="C231" s="26">
        <f t="shared" si="55"/>
        <v>1</v>
      </c>
      <c r="D231" s="29"/>
      <c r="E231" s="29">
        <v>1</v>
      </c>
      <c r="F231" s="29"/>
      <c r="G231" s="26">
        <f t="shared" si="56"/>
        <v>1</v>
      </c>
      <c r="H231" s="26">
        <f t="shared" si="57"/>
        <v>1</v>
      </c>
      <c r="I231" s="29"/>
      <c r="J231" s="29"/>
      <c r="K231" s="29">
        <v>1</v>
      </c>
      <c r="L231" s="29"/>
      <c r="M231" s="29"/>
      <c r="N231" s="29"/>
      <c r="O231" s="29"/>
      <c r="P231" s="29"/>
      <c r="Q231" s="29"/>
      <c r="R231" s="29"/>
      <c r="S231" s="29"/>
      <c r="T231" s="42"/>
      <c r="U231" s="40" t="s">
        <v>2742</v>
      </c>
    </row>
    <row r="232" ht="18.5" customHeight="1" outlineLevel="2" spans="1:21">
      <c r="A232" s="24" t="s">
        <v>894</v>
      </c>
      <c r="B232" s="25" t="s">
        <v>895</v>
      </c>
      <c r="C232" s="26">
        <f t="shared" si="55"/>
        <v>8</v>
      </c>
      <c r="D232" s="29"/>
      <c r="E232" s="29">
        <v>8</v>
      </c>
      <c r="F232" s="29"/>
      <c r="G232" s="26">
        <f t="shared" si="56"/>
        <v>6</v>
      </c>
      <c r="H232" s="26">
        <f t="shared" si="57"/>
        <v>6</v>
      </c>
      <c r="I232" s="29"/>
      <c r="J232" s="29"/>
      <c r="K232" s="29">
        <v>6</v>
      </c>
      <c r="L232" s="29"/>
      <c r="M232" s="29"/>
      <c r="N232" s="29"/>
      <c r="O232" s="29"/>
      <c r="P232" s="29"/>
      <c r="Q232" s="29"/>
      <c r="R232" s="29"/>
      <c r="S232" s="29"/>
      <c r="T232" s="42"/>
      <c r="U232" s="40" t="s">
        <v>2742</v>
      </c>
    </row>
    <row r="233" s="9" customFormat="1" ht="18.5" customHeight="1" outlineLevel="1" spans="1:21">
      <c r="A233" s="24" t="s">
        <v>896</v>
      </c>
      <c r="B233" s="25" t="s">
        <v>897</v>
      </c>
      <c r="C233" s="26">
        <f t="shared" si="55"/>
        <v>5</v>
      </c>
      <c r="D233" s="29"/>
      <c r="E233" s="29">
        <v>5</v>
      </c>
      <c r="F233" s="29"/>
      <c r="G233" s="26">
        <f t="shared" si="56"/>
        <v>6</v>
      </c>
      <c r="H233" s="26">
        <f t="shared" si="57"/>
        <v>6</v>
      </c>
      <c r="I233" s="29"/>
      <c r="J233" s="29"/>
      <c r="K233" s="29">
        <v>6</v>
      </c>
      <c r="L233" s="29"/>
      <c r="M233" s="29"/>
      <c r="N233" s="29"/>
      <c r="O233" s="29"/>
      <c r="P233" s="29"/>
      <c r="Q233" s="29"/>
      <c r="R233" s="29"/>
      <c r="S233" s="29"/>
      <c r="T233" s="42"/>
      <c r="U233" s="40" t="s">
        <v>2742</v>
      </c>
    </row>
    <row r="234" ht="18.5" customHeight="1" outlineLevel="2" spans="1:21">
      <c r="A234" s="24" t="s">
        <v>898</v>
      </c>
      <c r="B234" s="25" t="s">
        <v>899</v>
      </c>
      <c r="C234" s="26">
        <f t="shared" si="55"/>
        <v>9</v>
      </c>
      <c r="D234" s="29"/>
      <c r="E234" s="29">
        <v>9</v>
      </c>
      <c r="F234" s="29"/>
      <c r="G234" s="26">
        <f t="shared" si="56"/>
        <v>13</v>
      </c>
      <c r="H234" s="26">
        <f t="shared" si="57"/>
        <v>11</v>
      </c>
      <c r="I234" s="29"/>
      <c r="J234" s="29"/>
      <c r="K234" s="29">
        <v>11</v>
      </c>
      <c r="L234" s="29"/>
      <c r="M234" s="29"/>
      <c r="N234" s="29"/>
      <c r="O234" s="29"/>
      <c r="P234" s="29"/>
      <c r="Q234" s="29">
        <v>2</v>
      </c>
      <c r="R234" s="29"/>
      <c r="S234" s="29"/>
      <c r="T234" s="42"/>
      <c r="U234" s="40" t="s">
        <v>2742</v>
      </c>
    </row>
    <row r="235" ht="18.5" customHeight="1" outlineLevel="2" spans="1:21">
      <c r="A235" s="24" t="s">
        <v>900</v>
      </c>
      <c r="B235" s="25" t="s">
        <v>901</v>
      </c>
      <c r="C235" s="26">
        <f t="shared" si="55"/>
        <v>2</v>
      </c>
      <c r="D235" s="29"/>
      <c r="E235" s="29">
        <v>2</v>
      </c>
      <c r="F235" s="29"/>
      <c r="G235" s="26">
        <f t="shared" si="56"/>
        <v>2</v>
      </c>
      <c r="H235" s="26">
        <f t="shared" si="57"/>
        <v>2</v>
      </c>
      <c r="I235" s="29"/>
      <c r="J235" s="29"/>
      <c r="K235" s="29">
        <v>2</v>
      </c>
      <c r="L235" s="29"/>
      <c r="M235" s="29"/>
      <c r="N235" s="29"/>
      <c r="O235" s="29"/>
      <c r="P235" s="29"/>
      <c r="Q235" s="29"/>
      <c r="R235" s="29"/>
      <c r="S235" s="29"/>
      <c r="T235" s="42"/>
      <c r="U235" s="40" t="s">
        <v>2742</v>
      </c>
    </row>
    <row r="236" ht="18.5" customHeight="1" outlineLevel="2" spans="1:21">
      <c r="A236" s="21" t="s">
        <v>2752</v>
      </c>
      <c r="B236" s="27" t="s">
        <v>902</v>
      </c>
      <c r="C236" s="23">
        <f t="shared" ref="C236:S236" si="58">SUM(C237:C243)</f>
        <v>86</v>
      </c>
      <c r="D236" s="23">
        <f t="shared" si="58"/>
        <v>55</v>
      </c>
      <c r="E236" s="23">
        <f t="shared" si="58"/>
        <v>31</v>
      </c>
      <c r="F236" s="23">
        <f t="shared" si="58"/>
        <v>0</v>
      </c>
      <c r="G236" s="23">
        <f t="shared" si="58"/>
        <v>151</v>
      </c>
      <c r="H236" s="23">
        <f t="shared" si="58"/>
        <v>79</v>
      </c>
      <c r="I236" s="23">
        <f t="shared" si="58"/>
        <v>50</v>
      </c>
      <c r="J236" s="23">
        <f t="shared" si="58"/>
        <v>0</v>
      </c>
      <c r="K236" s="23">
        <f t="shared" si="58"/>
        <v>29</v>
      </c>
      <c r="L236" s="23">
        <f t="shared" si="58"/>
        <v>0</v>
      </c>
      <c r="M236" s="23">
        <f t="shared" si="58"/>
        <v>0</v>
      </c>
      <c r="N236" s="23">
        <f t="shared" si="58"/>
        <v>0</v>
      </c>
      <c r="O236" s="23">
        <f t="shared" si="58"/>
        <v>0</v>
      </c>
      <c r="P236" s="23">
        <f t="shared" si="58"/>
        <v>0</v>
      </c>
      <c r="Q236" s="23">
        <f t="shared" si="58"/>
        <v>72</v>
      </c>
      <c r="R236" s="23">
        <f t="shared" si="58"/>
        <v>21</v>
      </c>
      <c r="S236" s="23">
        <f t="shared" si="58"/>
        <v>0</v>
      </c>
      <c r="T236" s="35"/>
      <c r="U236" s="46" t="s">
        <v>2708</v>
      </c>
    </row>
    <row r="237" ht="18.5" customHeight="1" outlineLevel="2" spans="1:21">
      <c r="A237" s="24" t="s">
        <v>903</v>
      </c>
      <c r="B237" s="25" t="s">
        <v>2240</v>
      </c>
      <c r="C237" s="26">
        <f t="shared" ref="C237:C243" si="59">SUM(D237:E237)</f>
        <v>55</v>
      </c>
      <c r="D237" s="29">
        <v>55</v>
      </c>
      <c r="E237" s="29"/>
      <c r="F237" s="29"/>
      <c r="G237" s="26">
        <f t="shared" ref="G237:G243" si="60">SUM(P237,Q237,H237)</f>
        <v>111</v>
      </c>
      <c r="H237" s="26">
        <f t="shared" ref="H237:H243" si="61">SUM(I237:O237)</f>
        <v>50</v>
      </c>
      <c r="I237" s="29">
        <v>50</v>
      </c>
      <c r="J237" s="29"/>
      <c r="K237" s="29"/>
      <c r="L237" s="29"/>
      <c r="M237" s="29"/>
      <c r="N237" s="29"/>
      <c r="O237" s="29"/>
      <c r="P237" s="29"/>
      <c r="Q237" s="29">
        <v>61</v>
      </c>
      <c r="R237" s="29">
        <v>20</v>
      </c>
      <c r="S237" s="29"/>
      <c r="T237" s="42"/>
      <c r="U237" s="40" t="s">
        <v>2740</v>
      </c>
    </row>
    <row r="238" ht="18.5" customHeight="1" outlineLevel="2" spans="1:21">
      <c r="A238" s="24" t="s">
        <v>905</v>
      </c>
      <c r="B238" s="25" t="s">
        <v>906</v>
      </c>
      <c r="C238" s="26">
        <f t="shared" si="59"/>
        <v>15</v>
      </c>
      <c r="D238" s="29"/>
      <c r="E238" s="29">
        <v>15</v>
      </c>
      <c r="F238" s="29"/>
      <c r="G238" s="26">
        <f t="shared" si="60"/>
        <v>19</v>
      </c>
      <c r="H238" s="26">
        <f t="shared" si="61"/>
        <v>13</v>
      </c>
      <c r="I238" s="29"/>
      <c r="J238" s="29"/>
      <c r="K238" s="29">
        <v>13</v>
      </c>
      <c r="L238" s="29"/>
      <c r="M238" s="29"/>
      <c r="N238" s="29"/>
      <c r="O238" s="29"/>
      <c r="P238" s="29"/>
      <c r="Q238" s="29">
        <v>6</v>
      </c>
      <c r="R238" s="29">
        <v>1</v>
      </c>
      <c r="S238" s="29"/>
      <c r="T238" s="42"/>
      <c r="U238" s="40" t="s">
        <v>2741</v>
      </c>
    </row>
    <row r="239" ht="18.5" customHeight="1" outlineLevel="2" spans="1:21">
      <c r="A239" s="24" t="s">
        <v>907</v>
      </c>
      <c r="B239" s="25" t="s">
        <v>908</v>
      </c>
      <c r="C239" s="26">
        <f t="shared" si="59"/>
        <v>6</v>
      </c>
      <c r="D239" s="29"/>
      <c r="E239" s="29">
        <v>6</v>
      </c>
      <c r="F239" s="29"/>
      <c r="G239" s="26">
        <f t="shared" si="60"/>
        <v>10</v>
      </c>
      <c r="H239" s="26">
        <f t="shared" si="61"/>
        <v>6</v>
      </c>
      <c r="I239" s="29"/>
      <c r="J239" s="29"/>
      <c r="K239" s="29">
        <v>6</v>
      </c>
      <c r="L239" s="29"/>
      <c r="M239" s="29"/>
      <c r="N239" s="29"/>
      <c r="O239" s="29"/>
      <c r="P239" s="29"/>
      <c r="Q239" s="29">
        <v>4</v>
      </c>
      <c r="R239" s="29"/>
      <c r="S239" s="29"/>
      <c r="T239" s="42"/>
      <c r="U239" s="40" t="s">
        <v>2742</v>
      </c>
    </row>
    <row r="240" ht="18.5" customHeight="1" outlineLevel="2" spans="1:21">
      <c r="A240" s="24" t="s">
        <v>909</v>
      </c>
      <c r="B240" s="25" t="s">
        <v>910</v>
      </c>
      <c r="C240" s="26">
        <f t="shared" si="59"/>
        <v>1</v>
      </c>
      <c r="D240" s="29"/>
      <c r="E240" s="29">
        <v>1</v>
      </c>
      <c r="F240" s="29"/>
      <c r="G240" s="26">
        <f t="shared" si="60"/>
        <v>1</v>
      </c>
      <c r="H240" s="26">
        <f t="shared" si="61"/>
        <v>1</v>
      </c>
      <c r="I240" s="29"/>
      <c r="J240" s="29"/>
      <c r="K240" s="29">
        <v>1</v>
      </c>
      <c r="L240" s="29"/>
      <c r="M240" s="29"/>
      <c r="N240" s="29"/>
      <c r="O240" s="29"/>
      <c r="P240" s="29"/>
      <c r="Q240" s="29"/>
      <c r="R240" s="29"/>
      <c r="S240" s="29"/>
      <c r="T240" s="42"/>
      <c r="U240" s="40" t="s">
        <v>2742</v>
      </c>
    </row>
    <row r="241" s="9" customFormat="1" ht="18.5" customHeight="1" outlineLevel="1" spans="1:21">
      <c r="A241" s="24" t="s">
        <v>911</v>
      </c>
      <c r="B241" s="25" t="s">
        <v>912</v>
      </c>
      <c r="C241" s="26">
        <f t="shared" si="59"/>
        <v>3</v>
      </c>
      <c r="D241" s="29"/>
      <c r="E241" s="29">
        <v>3</v>
      </c>
      <c r="F241" s="29"/>
      <c r="G241" s="26">
        <f t="shared" si="60"/>
        <v>3</v>
      </c>
      <c r="H241" s="26">
        <f t="shared" si="61"/>
        <v>3</v>
      </c>
      <c r="I241" s="29"/>
      <c r="J241" s="29"/>
      <c r="K241" s="29">
        <v>3</v>
      </c>
      <c r="L241" s="29"/>
      <c r="M241" s="29"/>
      <c r="N241" s="29"/>
      <c r="O241" s="29"/>
      <c r="P241" s="29"/>
      <c r="Q241" s="29"/>
      <c r="R241" s="29"/>
      <c r="S241" s="29"/>
      <c r="T241" s="42"/>
      <c r="U241" s="40" t="s">
        <v>2742</v>
      </c>
    </row>
    <row r="242" ht="18.5" customHeight="1" outlineLevel="2" spans="1:21">
      <c r="A242" s="24" t="s">
        <v>913</v>
      </c>
      <c r="B242" s="25" t="s">
        <v>914</v>
      </c>
      <c r="C242" s="26">
        <f t="shared" si="59"/>
        <v>2</v>
      </c>
      <c r="D242" s="29"/>
      <c r="E242" s="29">
        <v>2</v>
      </c>
      <c r="F242" s="29"/>
      <c r="G242" s="26">
        <f t="shared" si="60"/>
        <v>2</v>
      </c>
      <c r="H242" s="26">
        <f t="shared" si="61"/>
        <v>2</v>
      </c>
      <c r="I242" s="29"/>
      <c r="J242" s="29"/>
      <c r="K242" s="29">
        <v>2</v>
      </c>
      <c r="L242" s="29"/>
      <c r="M242" s="29"/>
      <c r="N242" s="29"/>
      <c r="O242" s="29"/>
      <c r="P242" s="29"/>
      <c r="Q242" s="29"/>
      <c r="R242" s="29"/>
      <c r="S242" s="29"/>
      <c r="T242" s="42"/>
      <c r="U242" s="40" t="s">
        <v>2742</v>
      </c>
    </row>
    <row r="243" ht="18.5" customHeight="1" outlineLevel="2" spans="1:21">
      <c r="A243" s="24" t="s">
        <v>915</v>
      </c>
      <c r="B243" s="25" t="s">
        <v>916</v>
      </c>
      <c r="C243" s="26">
        <f t="shared" si="59"/>
        <v>4</v>
      </c>
      <c r="D243" s="29"/>
      <c r="E243" s="29">
        <v>4</v>
      </c>
      <c r="F243" s="29"/>
      <c r="G243" s="26">
        <f t="shared" si="60"/>
        <v>5</v>
      </c>
      <c r="H243" s="26">
        <f t="shared" si="61"/>
        <v>4</v>
      </c>
      <c r="I243" s="29"/>
      <c r="J243" s="29"/>
      <c r="K243" s="29">
        <v>4</v>
      </c>
      <c r="L243" s="29"/>
      <c r="M243" s="29"/>
      <c r="N243" s="29"/>
      <c r="O243" s="29"/>
      <c r="P243" s="29"/>
      <c r="Q243" s="29">
        <v>1</v>
      </c>
      <c r="R243" s="29"/>
      <c r="S243" s="29"/>
      <c r="T243" s="42"/>
      <c r="U243" s="40" t="s">
        <v>2742</v>
      </c>
    </row>
    <row r="244" ht="18.5" customHeight="1" outlineLevel="2" spans="1:21">
      <c r="A244" s="21" t="s">
        <v>2753</v>
      </c>
      <c r="B244" s="27" t="s">
        <v>917</v>
      </c>
      <c r="C244" s="23">
        <f t="shared" ref="C244:S244" si="62">SUM(C245:C249)</f>
        <v>55</v>
      </c>
      <c r="D244" s="23">
        <f t="shared" si="62"/>
        <v>35</v>
      </c>
      <c r="E244" s="23">
        <f t="shared" si="62"/>
        <v>20</v>
      </c>
      <c r="F244" s="23">
        <f t="shared" si="62"/>
        <v>0</v>
      </c>
      <c r="G244" s="23">
        <f t="shared" si="62"/>
        <v>88</v>
      </c>
      <c r="H244" s="23">
        <f t="shared" si="62"/>
        <v>53</v>
      </c>
      <c r="I244" s="23">
        <f t="shared" si="62"/>
        <v>33</v>
      </c>
      <c r="J244" s="23">
        <f t="shared" si="62"/>
        <v>0</v>
      </c>
      <c r="K244" s="23">
        <f t="shared" si="62"/>
        <v>20</v>
      </c>
      <c r="L244" s="23">
        <f t="shared" si="62"/>
        <v>0</v>
      </c>
      <c r="M244" s="23">
        <f t="shared" si="62"/>
        <v>0</v>
      </c>
      <c r="N244" s="23">
        <f t="shared" si="62"/>
        <v>0</v>
      </c>
      <c r="O244" s="23">
        <f t="shared" si="62"/>
        <v>0</v>
      </c>
      <c r="P244" s="23">
        <f t="shared" si="62"/>
        <v>0</v>
      </c>
      <c r="Q244" s="23">
        <f t="shared" si="62"/>
        <v>35</v>
      </c>
      <c r="R244" s="23">
        <f t="shared" si="62"/>
        <v>2</v>
      </c>
      <c r="S244" s="23">
        <f t="shared" si="62"/>
        <v>0</v>
      </c>
      <c r="T244" s="35"/>
      <c r="U244" s="46" t="s">
        <v>2708</v>
      </c>
    </row>
    <row r="245" ht="18.5" customHeight="1" outlineLevel="2" spans="1:21">
      <c r="A245" s="24" t="s">
        <v>918</v>
      </c>
      <c r="B245" s="25" t="s">
        <v>2241</v>
      </c>
      <c r="C245" s="26">
        <f t="shared" ref="C245:C249" si="63">SUM(D245:E245)</f>
        <v>35</v>
      </c>
      <c r="D245" s="29">
        <v>35</v>
      </c>
      <c r="E245" s="29"/>
      <c r="F245" s="29"/>
      <c r="G245" s="26">
        <f t="shared" ref="G245:G249" si="64">SUM(P245,Q245,H245)</f>
        <v>63</v>
      </c>
      <c r="H245" s="26">
        <f t="shared" ref="H245:H249" si="65">SUM(I245:O245)</f>
        <v>33</v>
      </c>
      <c r="I245" s="29">
        <v>33</v>
      </c>
      <c r="J245" s="29"/>
      <c r="K245" s="29"/>
      <c r="L245" s="29"/>
      <c r="M245" s="29"/>
      <c r="N245" s="29"/>
      <c r="O245" s="29"/>
      <c r="P245" s="29"/>
      <c r="Q245" s="29">
        <v>30</v>
      </c>
      <c r="R245" s="29">
        <v>2</v>
      </c>
      <c r="S245" s="29"/>
      <c r="T245" s="42"/>
      <c r="U245" s="40" t="s">
        <v>2740</v>
      </c>
    </row>
    <row r="246" ht="18.5" customHeight="1" outlineLevel="2" spans="1:21">
      <c r="A246" s="24" t="s">
        <v>920</v>
      </c>
      <c r="B246" s="25" t="s">
        <v>921</v>
      </c>
      <c r="C246" s="26">
        <f t="shared" si="63"/>
        <v>15</v>
      </c>
      <c r="D246" s="29"/>
      <c r="E246" s="29">
        <v>15</v>
      </c>
      <c r="F246" s="29"/>
      <c r="G246" s="26">
        <f t="shared" si="64"/>
        <v>19</v>
      </c>
      <c r="H246" s="26">
        <f t="shared" si="65"/>
        <v>15</v>
      </c>
      <c r="I246" s="29"/>
      <c r="J246" s="29"/>
      <c r="K246" s="29">
        <v>15</v>
      </c>
      <c r="L246" s="29"/>
      <c r="M246" s="29"/>
      <c r="N246" s="29"/>
      <c r="O246" s="29"/>
      <c r="P246" s="29"/>
      <c r="Q246" s="29">
        <v>4</v>
      </c>
      <c r="R246" s="29"/>
      <c r="S246" s="29"/>
      <c r="T246" s="42"/>
      <c r="U246" s="40" t="s">
        <v>2741</v>
      </c>
    </row>
    <row r="247" s="9" customFormat="1" ht="18.5" customHeight="1" outlineLevel="1" spans="1:21">
      <c r="A247" s="24" t="s">
        <v>922</v>
      </c>
      <c r="B247" s="25" t="s">
        <v>923</v>
      </c>
      <c r="C247" s="26">
        <f t="shared" si="63"/>
        <v>1</v>
      </c>
      <c r="D247" s="29"/>
      <c r="E247" s="29">
        <v>1</v>
      </c>
      <c r="F247" s="29"/>
      <c r="G247" s="26">
        <f t="shared" si="64"/>
        <v>1</v>
      </c>
      <c r="H247" s="26">
        <f t="shared" si="65"/>
        <v>1</v>
      </c>
      <c r="I247" s="29"/>
      <c r="J247" s="29"/>
      <c r="K247" s="29">
        <v>1</v>
      </c>
      <c r="L247" s="29"/>
      <c r="M247" s="29"/>
      <c r="N247" s="29"/>
      <c r="O247" s="29"/>
      <c r="P247" s="29"/>
      <c r="Q247" s="29"/>
      <c r="R247" s="29"/>
      <c r="S247" s="29"/>
      <c r="T247" s="42"/>
      <c r="U247" s="40" t="s">
        <v>2742</v>
      </c>
    </row>
    <row r="248" ht="18.5" customHeight="1" outlineLevel="2" spans="1:21">
      <c r="A248" s="24" t="s">
        <v>924</v>
      </c>
      <c r="B248" s="25" t="s">
        <v>925</v>
      </c>
      <c r="C248" s="26">
        <f t="shared" si="63"/>
        <v>2</v>
      </c>
      <c r="D248" s="29"/>
      <c r="E248" s="29">
        <v>2</v>
      </c>
      <c r="F248" s="29"/>
      <c r="G248" s="26">
        <f t="shared" si="64"/>
        <v>3</v>
      </c>
      <c r="H248" s="26">
        <f t="shared" si="65"/>
        <v>2</v>
      </c>
      <c r="I248" s="29"/>
      <c r="J248" s="29"/>
      <c r="K248" s="29">
        <v>2</v>
      </c>
      <c r="L248" s="29"/>
      <c r="M248" s="29"/>
      <c r="N248" s="29"/>
      <c r="O248" s="29"/>
      <c r="P248" s="29"/>
      <c r="Q248" s="29">
        <v>1</v>
      </c>
      <c r="R248" s="29"/>
      <c r="S248" s="29"/>
      <c r="T248" s="42"/>
      <c r="U248" s="40" t="s">
        <v>2742</v>
      </c>
    </row>
    <row r="249" ht="18.5" customHeight="1" outlineLevel="2" spans="1:21">
      <c r="A249" s="24" t="s">
        <v>926</v>
      </c>
      <c r="B249" s="25" t="s">
        <v>927</v>
      </c>
      <c r="C249" s="26">
        <f t="shared" si="63"/>
        <v>2</v>
      </c>
      <c r="D249" s="29"/>
      <c r="E249" s="29">
        <v>2</v>
      </c>
      <c r="F249" s="29"/>
      <c r="G249" s="26">
        <f t="shared" si="64"/>
        <v>2</v>
      </c>
      <c r="H249" s="26">
        <f t="shared" si="65"/>
        <v>2</v>
      </c>
      <c r="I249" s="29"/>
      <c r="J249" s="29"/>
      <c r="K249" s="29">
        <v>2</v>
      </c>
      <c r="L249" s="29"/>
      <c r="M249" s="29"/>
      <c r="N249" s="29"/>
      <c r="O249" s="29"/>
      <c r="P249" s="29"/>
      <c r="Q249" s="29"/>
      <c r="R249" s="29"/>
      <c r="S249" s="29"/>
      <c r="T249" s="42"/>
      <c r="U249" s="40" t="s">
        <v>2742</v>
      </c>
    </row>
    <row r="250" ht="18.5" customHeight="1" outlineLevel="2" spans="1:21">
      <c r="A250" s="21" t="s">
        <v>2754</v>
      </c>
      <c r="B250" s="27" t="s">
        <v>928</v>
      </c>
      <c r="C250" s="23">
        <f t="shared" ref="C250:S250" si="66">SUM(C251:C255)</f>
        <v>55</v>
      </c>
      <c r="D250" s="23">
        <f t="shared" si="66"/>
        <v>35</v>
      </c>
      <c r="E250" s="23">
        <f t="shared" si="66"/>
        <v>20</v>
      </c>
      <c r="F250" s="23">
        <f t="shared" si="66"/>
        <v>0</v>
      </c>
      <c r="G250" s="23">
        <f t="shared" si="66"/>
        <v>83</v>
      </c>
      <c r="H250" s="23">
        <f t="shared" si="66"/>
        <v>53</v>
      </c>
      <c r="I250" s="23">
        <f t="shared" si="66"/>
        <v>35</v>
      </c>
      <c r="J250" s="23">
        <f t="shared" si="66"/>
        <v>0</v>
      </c>
      <c r="K250" s="23">
        <f t="shared" si="66"/>
        <v>18</v>
      </c>
      <c r="L250" s="23">
        <f t="shared" si="66"/>
        <v>0</v>
      </c>
      <c r="M250" s="23">
        <f t="shared" si="66"/>
        <v>0</v>
      </c>
      <c r="N250" s="23">
        <f t="shared" si="66"/>
        <v>0</v>
      </c>
      <c r="O250" s="23">
        <f t="shared" si="66"/>
        <v>0</v>
      </c>
      <c r="P250" s="23">
        <f t="shared" si="66"/>
        <v>0</v>
      </c>
      <c r="Q250" s="23">
        <f t="shared" si="66"/>
        <v>30</v>
      </c>
      <c r="R250" s="23">
        <f t="shared" si="66"/>
        <v>6</v>
      </c>
      <c r="S250" s="23">
        <f t="shared" si="66"/>
        <v>0</v>
      </c>
      <c r="T250" s="35"/>
      <c r="U250" s="46" t="s">
        <v>2708</v>
      </c>
    </row>
    <row r="251" ht="18.5" customHeight="1" outlineLevel="2" spans="1:21">
      <c r="A251" s="24" t="s">
        <v>929</v>
      </c>
      <c r="B251" s="25" t="s">
        <v>2242</v>
      </c>
      <c r="C251" s="26">
        <f t="shared" ref="C251:C255" si="67">SUM(D251:E251)</f>
        <v>35</v>
      </c>
      <c r="D251" s="29">
        <v>35</v>
      </c>
      <c r="E251" s="29"/>
      <c r="F251" s="29"/>
      <c r="G251" s="26">
        <f t="shared" ref="G251:G255" si="68">SUM(P251,Q251,H251)</f>
        <v>59</v>
      </c>
      <c r="H251" s="26">
        <f t="shared" ref="H251:H255" si="69">SUM(I251:O251)</f>
        <v>35</v>
      </c>
      <c r="I251" s="29">
        <v>35</v>
      </c>
      <c r="J251" s="29"/>
      <c r="K251" s="29"/>
      <c r="L251" s="29"/>
      <c r="M251" s="29"/>
      <c r="N251" s="29"/>
      <c r="O251" s="29"/>
      <c r="P251" s="29"/>
      <c r="Q251" s="29">
        <v>24</v>
      </c>
      <c r="R251" s="29">
        <v>5</v>
      </c>
      <c r="S251" s="29"/>
      <c r="T251" s="42"/>
      <c r="U251" s="40" t="s">
        <v>2740</v>
      </c>
    </row>
    <row r="252" ht="18.5" customHeight="1" outlineLevel="2" spans="1:21">
      <c r="A252" s="24" t="s">
        <v>931</v>
      </c>
      <c r="B252" s="25" t="s">
        <v>932</v>
      </c>
      <c r="C252" s="26">
        <f t="shared" si="67"/>
        <v>15</v>
      </c>
      <c r="D252" s="29"/>
      <c r="E252" s="29">
        <v>15</v>
      </c>
      <c r="F252" s="29"/>
      <c r="G252" s="26">
        <f t="shared" si="68"/>
        <v>18</v>
      </c>
      <c r="H252" s="26">
        <f t="shared" si="69"/>
        <v>13</v>
      </c>
      <c r="I252" s="29"/>
      <c r="J252" s="29"/>
      <c r="K252" s="29">
        <v>13</v>
      </c>
      <c r="L252" s="29"/>
      <c r="M252" s="29"/>
      <c r="N252" s="29"/>
      <c r="O252" s="29"/>
      <c r="P252" s="29"/>
      <c r="Q252" s="29">
        <v>5</v>
      </c>
      <c r="R252" s="29">
        <v>1</v>
      </c>
      <c r="S252" s="29"/>
      <c r="T252" s="42"/>
      <c r="U252" s="40" t="s">
        <v>2741</v>
      </c>
    </row>
    <row r="253" s="9" customFormat="1" ht="18.5" customHeight="1" outlineLevel="1" spans="1:21">
      <c r="A253" s="24" t="s">
        <v>933</v>
      </c>
      <c r="B253" s="25" t="s">
        <v>934</v>
      </c>
      <c r="C253" s="26">
        <f t="shared" si="67"/>
        <v>1</v>
      </c>
      <c r="D253" s="29"/>
      <c r="E253" s="29">
        <v>1</v>
      </c>
      <c r="F253" s="29"/>
      <c r="G253" s="26">
        <f t="shared" si="68"/>
        <v>1</v>
      </c>
      <c r="H253" s="26">
        <f t="shared" si="69"/>
        <v>1</v>
      </c>
      <c r="I253" s="29"/>
      <c r="J253" s="29"/>
      <c r="K253" s="29">
        <v>1</v>
      </c>
      <c r="L253" s="29"/>
      <c r="M253" s="29"/>
      <c r="N253" s="29"/>
      <c r="O253" s="29"/>
      <c r="P253" s="29"/>
      <c r="Q253" s="29"/>
      <c r="R253" s="29"/>
      <c r="S253" s="29"/>
      <c r="T253" s="42"/>
      <c r="U253" s="40" t="s">
        <v>2742</v>
      </c>
    </row>
    <row r="254" ht="18.5" customHeight="1" outlineLevel="2" spans="1:21">
      <c r="A254" s="24" t="s">
        <v>935</v>
      </c>
      <c r="B254" s="25" t="s">
        <v>936</v>
      </c>
      <c r="C254" s="26">
        <f t="shared" si="67"/>
        <v>2</v>
      </c>
      <c r="D254" s="29"/>
      <c r="E254" s="29">
        <v>2</v>
      </c>
      <c r="F254" s="29"/>
      <c r="G254" s="26">
        <f t="shared" si="68"/>
        <v>3</v>
      </c>
      <c r="H254" s="26">
        <f t="shared" si="69"/>
        <v>2</v>
      </c>
      <c r="I254" s="29"/>
      <c r="J254" s="29"/>
      <c r="K254" s="29">
        <v>2</v>
      </c>
      <c r="L254" s="29"/>
      <c r="M254" s="29"/>
      <c r="N254" s="29"/>
      <c r="O254" s="29"/>
      <c r="P254" s="29"/>
      <c r="Q254" s="29">
        <v>1</v>
      </c>
      <c r="R254" s="29"/>
      <c r="S254" s="29"/>
      <c r="T254" s="42"/>
      <c r="U254" s="40" t="s">
        <v>2742</v>
      </c>
    </row>
    <row r="255" ht="18.5" customHeight="1" outlineLevel="2" spans="1:21">
      <c r="A255" s="24" t="s">
        <v>937</v>
      </c>
      <c r="B255" s="25" t="s">
        <v>938</v>
      </c>
      <c r="C255" s="26">
        <f t="shared" si="67"/>
        <v>2</v>
      </c>
      <c r="D255" s="29"/>
      <c r="E255" s="29">
        <v>2</v>
      </c>
      <c r="F255" s="29"/>
      <c r="G255" s="26">
        <f t="shared" si="68"/>
        <v>2</v>
      </c>
      <c r="H255" s="26">
        <f t="shared" si="69"/>
        <v>2</v>
      </c>
      <c r="I255" s="29"/>
      <c r="J255" s="29"/>
      <c r="K255" s="29">
        <v>2</v>
      </c>
      <c r="L255" s="29"/>
      <c r="M255" s="29"/>
      <c r="N255" s="29"/>
      <c r="O255" s="29"/>
      <c r="P255" s="29"/>
      <c r="Q255" s="29"/>
      <c r="R255" s="29"/>
      <c r="S255" s="29"/>
      <c r="T255" s="42"/>
      <c r="U255" s="40" t="s">
        <v>2742</v>
      </c>
    </row>
    <row r="256" ht="18.5" customHeight="1" outlineLevel="2" spans="1:21">
      <c r="A256" s="21" t="s">
        <v>2755</v>
      </c>
      <c r="B256" s="27" t="s">
        <v>939</v>
      </c>
      <c r="C256" s="23">
        <f t="shared" ref="C256:S256" si="70">SUM(C257:C261)</f>
        <v>104</v>
      </c>
      <c r="D256" s="23">
        <f t="shared" si="70"/>
        <v>55</v>
      </c>
      <c r="E256" s="23">
        <f t="shared" si="70"/>
        <v>49</v>
      </c>
      <c r="F256" s="23">
        <f t="shared" si="70"/>
        <v>0</v>
      </c>
      <c r="G256" s="23">
        <f t="shared" si="70"/>
        <v>172</v>
      </c>
      <c r="H256" s="23">
        <f t="shared" si="70"/>
        <v>98</v>
      </c>
      <c r="I256" s="23">
        <f t="shared" si="70"/>
        <v>54</v>
      </c>
      <c r="J256" s="23">
        <f t="shared" si="70"/>
        <v>0</v>
      </c>
      <c r="K256" s="23">
        <f t="shared" si="70"/>
        <v>44</v>
      </c>
      <c r="L256" s="23">
        <f t="shared" si="70"/>
        <v>0</v>
      </c>
      <c r="M256" s="23">
        <f t="shared" si="70"/>
        <v>0</v>
      </c>
      <c r="N256" s="23">
        <f t="shared" si="70"/>
        <v>0</v>
      </c>
      <c r="O256" s="23">
        <f t="shared" si="70"/>
        <v>0</v>
      </c>
      <c r="P256" s="23">
        <f t="shared" si="70"/>
        <v>0</v>
      </c>
      <c r="Q256" s="23">
        <f t="shared" si="70"/>
        <v>74</v>
      </c>
      <c r="R256" s="23">
        <f t="shared" si="70"/>
        <v>16</v>
      </c>
      <c r="S256" s="23">
        <f t="shared" si="70"/>
        <v>0</v>
      </c>
      <c r="T256" s="35"/>
      <c r="U256" s="46" t="s">
        <v>2708</v>
      </c>
    </row>
    <row r="257" ht="18.5" customHeight="1" outlineLevel="2" spans="1:21">
      <c r="A257" s="24" t="s">
        <v>940</v>
      </c>
      <c r="B257" s="25" t="s">
        <v>2243</v>
      </c>
      <c r="C257" s="26">
        <f t="shared" ref="C257:C261" si="71">SUM(D257:E257)</f>
        <v>55</v>
      </c>
      <c r="D257" s="29">
        <v>55</v>
      </c>
      <c r="E257" s="29"/>
      <c r="F257" s="29"/>
      <c r="G257" s="26">
        <f t="shared" ref="G257:G261" si="72">SUM(P257,Q257,H257)</f>
        <v>118</v>
      </c>
      <c r="H257" s="26">
        <f t="shared" ref="H257:H261" si="73">SUM(I257:O257)</f>
        <v>54</v>
      </c>
      <c r="I257" s="29">
        <v>54</v>
      </c>
      <c r="J257" s="29"/>
      <c r="K257" s="29"/>
      <c r="L257" s="29"/>
      <c r="M257" s="29"/>
      <c r="N257" s="29"/>
      <c r="O257" s="29"/>
      <c r="P257" s="29"/>
      <c r="Q257" s="29">
        <v>64</v>
      </c>
      <c r="R257" s="29">
        <v>14</v>
      </c>
      <c r="S257" s="29"/>
      <c r="T257" s="42"/>
      <c r="U257" s="40" t="s">
        <v>2740</v>
      </c>
    </row>
    <row r="258" ht="18.5" customHeight="1" outlineLevel="2" spans="1:21">
      <c r="A258" s="24" t="s">
        <v>942</v>
      </c>
      <c r="B258" s="25" t="s">
        <v>943</v>
      </c>
      <c r="C258" s="26">
        <f t="shared" si="71"/>
        <v>11</v>
      </c>
      <c r="D258" s="29"/>
      <c r="E258" s="29">
        <v>11</v>
      </c>
      <c r="F258" s="29"/>
      <c r="G258" s="26">
        <f t="shared" si="72"/>
        <v>18</v>
      </c>
      <c r="H258" s="26">
        <f t="shared" si="73"/>
        <v>11</v>
      </c>
      <c r="I258" s="29"/>
      <c r="J258" s="29"/>
      <c r="K258" s="29">
        <v>11</v>
      </c>
      <c r="L258" s="29"/>
      <c r="M258" s="29"/>
      <c r="N258" s="29"/>
      <c r="O258" s="29"/>
      <c r="P258" s="29"/>
      <c r="Q258" s="29">
        <v>7</v>
      </c>
      <c r="R258" s="29">
        <v>2</v>
      </c>
      <c r="S258" s="29"/>
      <c r="T258" s="42"/>
      <c r="U258" s="40" t="s">
        <v>2741</v>
      </c>
    </row>
    <row r="259" s="9" customFormat="1" ht="18.5" customHeight="1" outlineLevel="1" spans="1:21">
      <c r="A259" s="24" t="s">
        <v>944</v>
      </c>
      <c r="B259" s="25" t="s">
        <v>945</v>
      </c>
      <c r="C259" s="26">
        <f t="shared" si="71"/>
        <v>19</v>
      </c>
      <c r="D259" s="29"/>
      <c r="E259" s="29">
        <v>19</v>
      </c>
      <c r="F259" s="29"/>
      <c r="G259" s="26">
        <f t="shared" si="72"/>
        <v>19</v>
      </c>
      <c r="H259" s="26">
        <f t="shared" si="73"/>
        <v>18</v>
      </c>
      <c r="I259" s="29"/>
      <c r="J259" s="29"/>
      <c r="K259" s="29">
        <v>18</v>
      </c>
      <c r="L259" s="29"/>
      <c r="M259" s="29"/>
      <c r="N259" s="29"/>
      <c r="O259" s="29"/>
      <c r="P259" s="29"/>
      <c r="Q259" s="29">
        <v>1</v>
      </c>
      <c r="R259" s="29"/>
      <c r="S259" s="29"/>
      <c r="T259" s="42"/>
      <c r="U259" s="40" t="s">
        <v>2742</v>
      </c>
    </row>
    <row r="260" ht="18.5" customHeight="1" outlineLevel="2" spans="1:21">
      <c r="A260" s="24" t="s">
        <v>946</v>
      </c>
      <c r="B260" s="25" t="s">
        <v>947</v>
      </c>
      <c r="C260" s="26">
        <f t="shared" si="71"/>
        <v>13</v>
      </c>
      <c r="D260" s="29"/>
      <c r="E260" s="29">
        <v>13</v>
      </c>
      <c r="F260" s="29"/>
      <c r="G260" s="26">
        <f t="shared" si="72"/>
        <v>11</v>
      </c>
      <c r="H260" s="26">
        <f t="shared" si="73"/>
        <v>9</v>
      </c>
      <c r="I260" s="29"/>
      <c r="J260" s="29"/>
      <c r="K260" s="29">
        <v>9</v>
      </c>
      <c r="L260" s="29"/>
      <c r="M260" s="29"/>
      <c r="N260" s="29"/>
      <c r="O260" s="29"/>
      <c r="P260" s="29"/>
      <c r="Q260" s="29">
        <v>2</v>
      </c>
      <c r="R260" s="29"/>
      <c r="S260" s="29"/>
      <c r="T260" s="42"/>
      <c r="U260" s="40" t="s">
        <v>2742</v>
      </c>
    </row>
    <row r="261" ht="18.5" customHeight="1" outlineLevel="2" spans="1:21">
      <c r="A261" s="24" t="s">
        <v>948</v>
      </c>
      <c r="B261" s="25" t="s">
        <v>949</v>
      </c>
      <c r="C261" s="26">
        <f t="shared" si="71"/>
        <v>6</v>
      </c>
      <c r="D261" s="29"/>
      <c r="E261" s="29">
        <v>6</v>
      </c>
      <c r="F261" s="29"/>
      <c r="G261" s="26">
        <f t="shared" si="72"/>
        <v>6</v>
      </c>
      <c r="H261" s="26">
        <f t="shared" si="73"/>
        <v>6</v>
      </c>
      <c r="I261" s="29"/>
      <c r="J261" s="29"/>
      <c r="K261" s="29">
        <v>6</v>
      </c>
      <c r="L261" s="29"/>
      <c r="M261" s="29"/>
      <c r="N261" s="29"/>
      <c r="O261" s="29"/>
      <c r="P261" s="29"/>
      <c r="Q261" s="29"/>
      <c r="R261" s="29"/>
      <c r="S261" s="29"/>
      <c r="T261" s="42"/>
      <c r="U261" s="40" t="s">
        <v>2742</v>
      </c>
    </row>
    <row r="262" ht="18.5" customHeight="1" outlineLevel="2" spans="1:21">
      <c r="A262" s="21" t="s">
        <v>2756</v>
      </c>
      <c r="B262" s="27" t="s">
        <v>950</v>
      </c>
      <c r="C262" s="23">
        <f t="shared" ref="C262:S262" si="74">SUM(C263:C267)</f>
        <v>62</v>
      </c>
      <c r="D262" s="23">
        <f t="shared" si="74"/>
        <v>40</v>
      </c>
      <c r="E262" s="23">
        <f t="shared" si="74"/>
        <v>22</v>
      </c>
      <c r="F262" s="23">
        <f t="shared" si="74"/>
        <v>0</v>
      </c>
      <c r="G262" s="23">
        <f t="shared" si="74"/>
        <v>99</v>
      </c>
      <c r="H262" s="23">
        <f t="shared" si="74"/>
        <v>59</v>
      </c>
      <c r="I262" s="23">
        <f t="shared" si="74"/>
        <v>38</v>
      </c>
      <c r="J262" s="23">
        <f t="shared" si="74"/>
        <v>0</v>
      </c>
      <c r="K262" s="23">
        <f t="shared" si="74"/>
        <v>21</v>
      </c>
      <c r="L262" s="23">
        <f t="shared" si="74"/>
        <v>0</v>
      </c>
      <c r="M262" s="23">
        <f t="shared" si="74"/>
        <v>0</v>
      </c>
      <c r="N262" s="23">
        <f t="shared" si="74"/>
        <v>0</v>
      </c>
      <c r="O262" s="23">
        <f t="shared" si="74"/>
        <v>0</v>
      </c>
      <c r="P262" s="23">
        <f t="shared" si="74"/>
        <v>0</v>
      </c>
      <c r="Q262" s="23">
        <f t="shared" si="74"/>
        <v>40</v>
      </c>
      <c r="R262" s="23">
        <f t="shared" si="74"/>
        <v>0</v>
      </c>
      <c r="S262" s="23">
        <f t="shared" si="74"/>
        <v>0</v>
      </c>
      <c r="T262" s="35"/>
      <c r="U262" s="46" t="s">
        <v>2708</v>
      </c>
    </row>
    <row r="263" ht="18.5" customHeight="1" outlineLevel="2" spans="1:21">
      <c r="A263" s="24" t="s">
        <v>951</v>
      </c>
      <c r="B263" s="25" t="s">
        <v>2244</v>
      </c>
      <c r="C263" s="26">
        <f t="shared" ref="C263:C267" si="75">SUM(D263:E263)</f>
        <v>40</v>
      </c>
      <c r="D263" s="29">
        <v>40</v>
      </c>
      <c r="E263" s="29"/>
      <c r="F263" s="29"/>
      <c r="G263" s="26">
        <f t="shared" ref="G263:G267" si="76">SUM(P263,Q263,H263)</f>
        <v>71</v>
      </c>
      <c r="H263" s="26">
        <f t="shared" ref="H263:H267" si="77">SUM(I263:O263)</f>
        <v>38</v>
      </c>
      <c r="I263" s="29">
        <v>38</v>
      </c>
      <c r="J263" s="29"/>
      <c r="K263" s="29"/>
      <c r="L263" s="29"/>
      <c r="M263" s="29"/>
      <c r="N263" s="29"/>
      <c r="O263" s="29"/>
      <c r="P263" s="29"/>
      <c r="Q263" s="29">
        <v>33</v>
      </c>
      <c r="R263" s="29"/>
      <c r="S263" s="29"/>
      <c r="T263" s="42"/>
      <c r="U263" s="40" t="s">
        <v>2740</v>
      </c>
    </row>
    <row r="264" ht="18.5" customHeight="1" outlineLevel="2" spans="1:21">
      <c r="A264" s="24" t="s">
        <v>953</v>
      </c>
      <c r="B264" s="25" t="s">
        <v>954</v>
      </c>
      <c r="C264" s="26">
        <f t="shared" si="75"/>
        <v>15</v>
      </c>
      <c r="D264" s="29"/>
      <c r="E264" s="29">
        <v>15</v>
      </c>
      <c r="F264" s="29"/>
      <c r="G264" s="26">
        <f t="shared" si="76"/>
        <v>21</v>
      </c>
      <c r="H264" s="26">
        <f t="shared" si="77"/>
        <v>14</v>
      </c>
      <c r="I264" s="29"/>
      <c r="J264" s="29"/>
      <c r="K264" s="29">
        <v>14</v>
      </c>
      <c r="L264" s="29"/>
      <c r="M264" s="29"/>
      <c r="N264" s="29"/>
      <c r="O264" s="29"/>
      <c r="P264" s="29"/>
      <c r="Q264" s="29">
        <v>7</v>
      </c>
      <c r="R264" s="29"/>
      <c r="S264" s="29"/>
      <c r="T264" s="42"/>
      <c r="U264" s="40" t="s">
        <v>2741</v>
      </c>
    </row>
    <row r="265" s="9" customFormat="1" ht="18.5" customHeight="1" outlineLevel="1" spans="1:21">
      <c r="A265" s="24" t="s">
        <v>955</v>
      </c>
      <c r="B265" s="25" t="s">
        <v>956</v>
      </c>
      <c r="C265" s="26">
        <f t="shared" si="75"/>
        <v>1</v>
      </c>
      <c r="D265" s="29"/>
      <c r="E265" s="29">
        <v>1</v>
      </c>
      <c r="F265" s="29"/>
      <c r="G265" s="26">
        <f t="shared" si="76"/>
        <v>1</v>
      </c>
      <c r="H265" s="26">
        <f t="shared" si="77"/>
        <v>1</v>
      </c>
      <c r="I265" s="29"/>
      <c r="J265" s="29"/>
      <c r="K265" s="29">
        <v>1</v>
      </c>
      <c r="L265" s="29"/>
      <c r="M265" s="29"/>
      <c r="N265" s="29"/>
      <c r="O265" s="29"/>
      <c r="P265" s="29"/>
      <c r="Q265" s="29"/>
      <c r="R265" s="29"/>
      <c r="S265" s="29"/>
      <c r="T265" s="42"/>
      <c r="U265" s="40" t="s">
        <v>2742</v>
      </c>
    </row>
    <row r="266" ht="18.5" customHeight="1" outlineLevel="2" spans="1:21">
      <c r="A266" s="24" t="s">
        <v>957</v>
      </c>
      <c r="B266" s="25" t="s">
        <v>958</v>
      </c>
      <c r="C266" s="26">
        <f t="shared" si="75"/>
        <v>4</v>
      </c>
      <c r="D266" s="29"/>
      <c r="E266" s="29">
        <v>4</v>
      </c>
      <c r="F266" s="29"/>
      <c r="G266" s="26">
        <f t="shared" si="76"/>
        <v>4</v>
      </c>
      <c r="H266" s="26">
        <f t="shared" si="77"/>
        <v>4</v>
      </c>
      <c r="I266" s="29"/>
      <c r="J266" s="29"/>
      <c r="K266" s="29">
        <v>4</v>
      </c>
      <c r="L266" s="29"/>
      <c r="M266" s="29"/>
      <c r="N266" s="29"/>
      <c r="O266" s="29"/>
      <c r="P266" s="29"/>
      <c r="Q266" s="29"/>
      <c r="R266" s="29"/>
      <c r="S266" s="29"/>
      <c r="T266" s="42"/>
      <c r="U266" s="40" t="s">
        <v>2742</v>
      </c>
    </row>
    <row r="267" ht="18.5" customHeight="1" outlineLevel="2" spans="1:21">
      <c r="A267" s="24" t="s">
        <v>959</v>
      </c>
      <c r="B267" s="25" t="s">
        <v>960</v>
      </c>
      <c r="C267" s="26">
        <f t="shared" si="75"/>
        <v>2</v>
      </c>
      <c r="D267" s="29"/>
      <c r="E267" s="29">
        <v>2</v>
      </c>
      <c r="F267" s="29"/>
      <c r="G267" s="26">
        <f t="shared" si="76"/>
        <v>2</v>
      </c>
      <c r="H267" s="26">
        <f t="shared" si="77"/>
        <v>2</v>
      </c>
      <c r="I267" s="29"/>
      <c r="J267" s="29"/>
      <c r="K267" s="29">
        <v>2</v>
      </c>
      <c r="L267" s="29"/>
      <c r="M267" s="29"/>
      <c r="N267" s="29"/>
      <c r="O267" s="29"/>
      <c r="P267" s="29"/>
      <c r="Q267" s="29"/>
      <c r="R267" s="29"/>
      <c r="S267" s="29"/>
      <c r="T267" s="42"/>
      <c r="U267" s="40" t="s">
        <v>2742</v>
      </c>
    </row>
    <row r="268" ht="18.5" customHeight="1" outlineLevel="2" spans="1:21">
      <c r="A268" s="21" t="s">
        <v>2757</v>
      </c>
      <c r="B268" s="27" t="s">
        <v>961</v>
      </c>
      <c r="C268" s="23">
        <f t="shared" ref="C268:S268" si="78">SUM(C269:C273)</f>
        <v>114</v>
      </c>
      <c r="D268" s="23">
        <f t="shared" si="78"/>
        <v>52</v>
      </c>
      <c r="E268" s="23">
        <f t="shared" si="78"/>
        <v>62</v>
      </c>
      <c r="F268" s="23">
        <f t="shared" si="78"/>
        <v>0</v>
      </c>
      <c r="G268" s="23">
        <f t="shared" si="78"/>
        <v>192</v>
      </c>
      <c r="H268" s="23">
        <f t="shared" si="78"/>
        <v>112</v>
      </c>
      <c r="I268" s="23">
        <f t="shared" si="78"/>
        <v>51</v>
      </c>
      <c r="J268" s="23">
        <f t="shared" si="78"/>
        <v>0</v>
      </c>
      <c r="K268" s="23">
        <f t="shared" si="78"/>
        <v>61</v>
      </c>
      <c r="L268" s="23">
        <f t="shared" si="78"/>
        <v>0</v>
      </c>
      <c r="M268" s="23">
        <f t="shared" si="78"/>
        <v>0</v>
      </c>
      <c r="N268" s="23">
        <f t="shared" si="78"/>
        <v>0</v>
      </c>
      <c r="O268" s="23">
        <f t="shared" si="78"/>
        <v>0</v>
      </c>
      <c r="P268" s="23">
        <f t="shared" si="78"/>
        <v>1</v>
      </c>
      <c r="Q268" s="23">
        <f t="shared" si="78"/>
        <v>79</v>
      </c>
      <c r="R268" s="23">
        <f t="shared" si="78"/>
        <v>0</v>
      </c>
      <c r="S268" s="23">
        <f t="shared" si="78"/>
        <v>0</v>
      </c>
      <c r="T268" s="35"/>
      <c r="U268" s="46" t="s">
        <v>2708</v>
      </c>
    </row>
    <row r="269" ht="18.5" customHeight="1" outlineLevel="2" spans="1:21">
      <c r="A269" s="24" t="s">
        <v>962</v>
      </c>
      <c r="B269" s="25" t="s">
        <v>2245</v>
      </c>
      <c r="C269" s="26">
        <f t="shared" ref="C269:C273" si="79">SUM(D269:E269)</f>
        <v>52</v>
      </c>
      <c r="D269" s="29">
        <v>52</v>
      </c>
      <c r="E269" s="29"/>
      <c r="F269" s="29"/>
      <c r="G269" s="26">
        <f t="shared" ref="G269:G273" si="80">SUM(P269,Q269,H269)</f>
        <v>114</v>
      </c>
      <c r="H269" s="26">
        <f t="shared" ref="H269:H273" si="81">SUM(I269:O269)</f>
        <v>51</v>
      </c>
      <c r="I269" s="29">
        <v>51</v>
      </c>
      <c r="J269" s="29"/>
      <c r="K269" s="29"/>
      <c r="L269" s="29"/>
      <c r="M269" s="29"/>
      <c r="N269" s="29"/>
      <c r="O269" s="29"/>
      <c r="P269" s="29">
        <v>1</v>
      </c>
      <c r="Q269" s="29">
        <v>62</v>
      </c>
      <c r="R269" s="29"/>
      <c r="S269" s="29"/>
      <c r="T269" s="42"/>
      <c r="U269" s="40" t="s">
        <v>2740</v>
      </c>
    </row>
    <row r="270" ht="18.5" customHeight="1" outlineLevel="2" spans="1:21">
      <c r="A270" s="24" t="s">
        <v>964</v>
      </c>
      <c r="B270" s="25" t="s">
        <v>965</v>
      </c>
      <c r="C270" s="26">
        <f t="shared" si="79"/>
        <v>14</v>
      </c>
      <c r="D270" s="29"/>
      <c r="E270" s="29">
        <v>14</v>
      </c>
      <c r="F270" s="29"/>
      <c r="G270" s="26">
        <f t="shared" si="80"/>
        <v>28</v>
      </c>
      <c r="H270" s="26">
        <f t="shared" si="81"/>
        <v>12</v>
      </c>
      <c r="I270" s="29"/>
      <c r="J270" s="29"/>
      <c r="K270" s="29">
        <v>12</v>
      </c>
      <c r="L270" s="29"/>
      <c r="M270" s="29"/>
      <c r="N270" s="29"/>
      <c r="O270" s="29"/>
      <c r="P270" s="29"/>
      <c r="Q270" s="29">
        <v>16</v>
      </c>
      <c r="R270" s="29"/>
      <c r="S270" s="29"/>
      <c r="T270" s="42"/>
      <c r="U270" s="40" t="s">
        <v>2741</v>
      </c>
    </row>
    <row r="271" s="9" customFormat="1" ht="18.5" customHeight="1" outlineLevel="1" spans="1:21">
      <c r="A271" s="24" t="s">
        <v>966</v>
      </c>
      <c r="B271" s="25" t="s">
        <v>967</v>
      </c>
      <c r="C271" s="26">
        <f t="shared" si="79"/>
        <v>16</v>
      </c>
      <c r="D271" s="29"/>
      <c r="E271" s="29">
        <v>16</v>
      </c>
      <c r="F271" s="29"/>
      <c r="G271" s="26">
        <f t="shared" si="80"/>
        <v>20</v>
      </c>
      <c r="H271" s="26">
        <f t="shared" si="81"/>
        <v>20</v>
      </c>
      <c r="I271" s="29"/>
      <c r="J271" s="29"/>
      <c r="K271" s="29">
        <v>20</v>
      </c>
      <c r="L271" s="29"/>
      <c r="M271" s="29"/>
      <c r="N271" s="29"/>
      <c r="O271" s="29"/>
      <c r="P271" s="29"/>
      <c r="Q271" s="29"/>
      <c r="R271" s="29"/>
      <c r="S271" s="29"/>
      <c r="T271" s="42"/>
      <c r="U271" s="40" t="s">
        <v>2742</v>
      </c>
    </row>
    <row r="272" ht="18.5" customHeight="1" outlineLevel="2" spans="1:21">
      <c r="A272" s="24" t="s">
        <v>968</v>
      </c>
      <c r="B272" s="25" t="s">
        <v>969</v>
      </c>
      <c r="C272" s="26">
        <f t="shared" si="79"/>
        <v>28</v>
      </c>
      <c r="D272" s="29"/>
      <c r="E272" s="29">
        <v>28</v>
      </c>
      <c r="F272" s="29"/>
      <c r="G272" s="26">
        <f t="shared" si="80"/>
        <v>27</v>
      </c>
      <c r="H272" s="26">
        <f t="shared" si="81"/>
        <v>26</v>
      </c>
      <c r="I272" s="29"/>
      <c r="J272" s="29"/>
      <c r="K272" s="29">
        <v>26</v>
      </c>
      <c r="L272" s="29"/>
      <c r="M272" s="29"/>
      <c r="N272" s="29"/>
      <c r="O272" s="29"/>
      <c r="P272" s="29"/>
      <c r="Q272" s="29">
        <v>1</v>
      </c>
      <c r="R272" s="29"/>
      <c r="S272" s="29"/>
      <c r="T272" s="42"/>
      <c r="U272" s="40" t="s">
        <v>2742</v>
      </c>
    </row>
    <row r="273" ht="18.5" customHeight="1" outlineLevel="2" spans="1:21">
      <c r="A273" s="24" t="s">
        <v>970</v>
      </c>
      <c r="B273" s="25" t="s">
        <v>971</v>
      </c>
      <c r="C273" s="26">
        <f t="shared" si="79"/>
        <v>4</v>
      </c>
      <c r="D273" s="29"/>
      <c r="E273" s="29">
        <v>4</v>
      </c>
      <c r="F273" s="29"/>
      <c r="G273" s="26">
        <f t="shared" si="80"/>
        <v>3</v>
      </c>
      <c r="H273" s="26">
        <f t="shared" si="81"/>
        <v>3</v>
      </c>
      <c r="I273" s="29"/>
      <c r="J273" s="29"/>
      <c r="K273" s="29">
        <v>3</v>
      </c>
      <c r="L273" s="29"/>
      <c r="M273" s="29"/>
      <c r="N273" s="29"/>
      <c r="O273" s="29"/>
      <c r="P273" s="29"/>
      <c r="Q273" s="29"/>
      <c r="R273" s="29"/>
      <c r="S273" s="29"/>
      <c r="T273" s="42"/>
      <c r="U273" s="40" t="s">
        <v>2742</v>
      </c>
    </row>
    <row r="274" ht="18.5" customHeight="1" outlineLevel="2" spans="1:21">
      <c r="A274" s="21" t="s">
        <v>2758</v>
      </c>
      <c r="B274" s="27" t="s">
        <v>972</v>
      </c>
      <c r="C274" s="23">
        <f t="shared" ref="C274:S274" si="82">SUM(C275:C279)</f>
        <v>65</v>
      </c>
      <c r="D274" s="23">
        <f t="shared" si="82"/>
        <v>15</v>
      </c>
      <c r="E274" s="23">
        <f t="shared" si="82"/>
        <v>50</v>
      </c>
      <c r="F274" s="23">
        <f t="shared" si="82"/>
        <v>0</v>
      </c>
      <c r="G274" s="23">
        <f t="shared" si="82"/>
        <v>84</v>
      </c>
      <c r="H274" s="23">
        <f t="shared" si="82"/>
        <v>66</v>
      </c>
      <c r="I274" s="23">
        <f t="shared" si="82"/>
        <v>15</v>
      </c>
      <c r="J274" s="23">
        <f t="shared" si="82"/>
        <v>0</v>
      </c>
      <c r="K274" s="23">
        <f t="shared" si="82"/>
        <v>51</v>
      </c>
      <c r="L274" s="23">
        <f t="shared" si="82"/>
        <v>0</v>
      </c>
      <c r="M274" s="23">
        <f t="shared" si="82"/>
        <v>0</v>
      </c>
      <c r="N274" s="23">
        <f t="shared" si="82"/>
        <v>0</v>
      </c>
      <c r="O274" s="23">
        <f t="shared" si="82"/>
        <v>0</v>
      </c>
      <c r="P274" s="23">
        <f t="shared" si="82"/>
        <v>0</v>
      </c>
      <c r="Q274" s="23">
        <f t="shared" si="82"/>
        <v>18</v>
      </c>
      <c r="R274" s="23">
        <f t="shared" si="82"/>
        <v>0</v>
      </c>
      <c r="S274" s="23">
        <f t="shared" si="82"/>
        <v>0</v>
      </c>
      <c r="T274" s="35"/>
      <c r="U274" s="46" t="s">
        <v>2708</v>
      </c>
    </row>
    <row r="275" ht="18.5" customHeight="1" outlineLevel="2" spans="1:21">
      <c r="A275" s="24" t="s">
        <v>973</v>
      </c>
      <c r="B275" s="25" t="s">
        <v>974</v>
      </c>
      <c r="C275" s="26">
        <f t="shared" ref="C275:C279" si="83">SUM(D275:E275)</f>
        <v>14</v>
      </c>
      <c r="D275" s="29"/>
      <c r="E275" s="29">
        <v>14</v>
      </c>
      <c r="F275" s="29"/>
      <c r="G275" s="26">
        <f t="shared" ref="G275:G279" si="84">SUM(P275,Q275,H275)</f>
        <v>19</v>
      </c>
      <c r="H275" s="26">
        <f t="shared" ref="H275:H279" si="85">SUM(I275:O275)</f>
        <v>14</v>
      </c>
      <c r="I275" s="29"/>
      <c r="J275" s="29"/>
      <c r="K275" s="29">
        <v>14</v>
      </c>
      <c r="L275" s="29"/>
      <c r="M275" s="29"/>
      <c r="N275" s="29"/>
      <c r="O275" s="29"/>
      <c r="P275" s="29"/>
      <c r="Q275" s="29">
        <v>5</v>
      </c>
      <c r="R275" s="29"/>
      <c r="S275" s="29"/>
      <c r="T275" s="42"/>
      <c r="U275" s="40" t="s">
        <v>2741</v>
      </c>
    </row>
    <row r="276" ht="18.5" customHeight="1" outlineLevel="2" spans="1:21">
      <c r="A276" s="24" t="s">
        <v>975</v>
      </c>
      <c r="B276" s="25" t="s">
        <v>2246</v>
      </c>
      <c r="C276" s="26">
        <f t="shared" si="83"/>
        <v>15</v>
      </c>
      <c r="D276" s="29">
        <v>15</v>
      </c>
      <c r="E276" s="29"/>
      <c r="F276" s="29"/>
      <c r="G276" s="26">
        <f t="shared" si="84"/>
        <v>28</v>
      </c>
      <c r="H276" s="26">
        <f t="shared" si="85"/>
        <v>15</v>
      </c>
      <c r="I276" s="29">
        <v>15</v>
      </c>
      <c r="J276" s="29"/>
      <c r="K276" s="29"/>
      <c r="L276" s="29"/>
      <c r="M276" s="29"/>
      <c r="N276" s="29"/>
      <c r="O276" s="29"/>
      <c r="P276" s="29"/>
      <c r="Q276" s="29">
        <v>13</v>
      </c>
      <c r="R276" s="29"/>
      <c r="S276" s="29"/>
      <c r="T276" s="42"/>
      <c r="U276" s="40" t="s">
        <v>2740</v>
      </c>
    </row>
    <row r="277" s="9" customFormat="1" ht="18.5" customHeight="1" outlineLevel="1" spans="1:21">
      <c r="A277" s="24" t="s">
        <v>977</v>
      </c>
      <c r="B277" s="25" t="s">
        <v>978</v>
      </c>
      <c r="C277" s="26">
        <f t="shared" si="83"/>
        <v>9</v>
      </c>
      <c r="D277" s="29"/>
      <c r="E277" s="29">
        <v>9</v>
      </c>
      <c r="F277" s="29"/>
      <c r="G277" s="26">
        <f t="shared" si="84"/>
        <v>11</v>
      </c>
      <c r="H277" s="26">
        <f t="shared" si="85"/>
        <v>11</v>
      </c>
      <c r="I277" s="29"/>
      <c r="J277" s="29"/>
      <c r="K277" s="29">
        <v>11</v>
      </c>
      <c r="L277" s="29"/>
      <c r="M277" s="29"/>
      <c r="N277" s="29"/>
      <c r="O277" s="29"/>
      <c r="P277" s="29"/>
      <c r="Q277" s="29"/>
      <c r="R277" s="29"/>
      <c r="S277" s="29"/>
      <c r="T277" s="42"/>
      <c r="U277" s="40" t="s">
        <v>2742</v>
      </c>
    </row>
    <row r="278" ht="18.5" customHeight="1" outlineLevel="2" spans="1:21">
      <c r="A278" s="24" t="s">
        <v>979</v>
      </c>
      <c r="B278" s="25" t="s">
        <v>980</v>
      </c>
      <c r="C278" s="26">
        <f t="shared" si="83"/>
        <v>23</v>
      </c>
      <c r="D278" s="29"/>
      <c r="E278" s="29">
        <v>23</v>
      </c>
      <c r="F278" s="29"/>
      <c r="G278" s="26">
        <f t="shared" si="84"/>
        <v>22</v>
      </c>
      <c r="H278" s="26">
        <f t="shared" si="85"/>
        <v>22</v>
      </c>
      <c r="I278" s="29"/>
      <c r="J278" s="29"/>
      <c r="K278" s="29">
        <v>22</v>
      </c>
      <c r="L278" s="29"/>
      <c r="M278" s="29"/>
      <c r="N278" s="29"/>
      <c r="O278" s="29"/>
      <c r="P278" s="29"/>
      <c r="Q278" s="29"/>
      <c r="R278" s="29"/>
      <c r="S278" s="29"/>
      <c r="T278" s="42"/>
      <c r="U278" s="40" t="s">
        <v>2742</v>
      </c>
    </row>
    <row r="279" ht="18.5" customHeight="1" outlineLevel="2" spans="1:21">
      <c r="A279" s="24" t="s">
        <v>981</v>
      </c>
      <c r="B279" s="25" t="s">
        <v>982</v>
      </c>
      <c r="C279" s="26">
        <f t="shared" si="83"/>
        <v>4</v>
      </c>
      <c r="D279" s="29"/>
      <c r="E279" s="29">
        <v>4</v>
      </c>
      <c r="F279" s="29"/>
      <c r="G279" s="26">
        <f t="shared" si="84"/>
        <v>4</v>
      </c>
      <c r="H279" s="26">
        <f t="shared" si="85"/>
        <v>4</v>
      </c>
      <c r="I279" s="29"/>
      <c r="J279" s="29"/>
      <c r="K279" s="29">
        <v>4</v>
      </c>
      <c r="L279" s="29"/>
      <c r="M279" s="29"/>
      <c r="N279" s="29"/>
      <c r="O279" s="29"/>
      <c r="P279" s="29"/>
      <c r="Q279" s="29"/>
      <c r="R279" s="29"/>
      <c r="S279" s="29"/>
      <c r="T279" s="42"/>
      <c r="U279" s="40" t="s">
        <v>2742</v>
      </c>
    </row>
    <row r="280" ht="18.5" customHeight="1" outlineLevel="2" spans="1:21">
      <c r="A280" s="21" t="s">
        <v>2759</v>
      </c>
      <c r="B280" s="27" t="s">
        <v>983</v>
      </c>
      <c r="C280" s="23">
        <f t="shared" ref="C280:S280" si="86">SUM(C281:C285)</f>
        <v>36</v>
      </c>
      <c r="D280" s="23">
        <f t="shared" si="86"/>
        <v>0</v>
      </c>
      <c r="E280" s="23">
        <f t="shared" si="86"/>
        <v>36</v>
      </c>
      <c r="F280" s="23">
        <f t="shared" si="86"/>
        <v>0</v>
      </c>
      <c r="G280" s="23">
        <f t="shared" si="86"/>
        <v>36</v>
      </c>
      <c r="H280" s="23">
        <f t="shared" si="86"/>
        <v>33</v>
      </c>
      <c r="I280" s="23">
        <f t="shared" si="86"/>
        <v>0</v>
      </c>
      <c r="J280" s="23">
        <f t="shared" si="86"/>
        <v>0</v>
      </c>
      <c r="K280" s="23">
        <f t="shared" si="86"/>
        <v>33</v>
      </c>
      <c r="L280" s="23">
        <f t="shared" si="86"/>
        <v>0</v>
      </c>
      <c r="M280" s="23">
        <f t="shared" si="86"/>
        <v>0</v>
      </c>
      <c r="N280" s="23">
        <f t="shared" si="86"/>
        <v>0</v>
      </c>
      <c r="O280" s="23">
        <f t="shared" si="86"/>
        <v>0</v>
      </c>
      <c r="P280" s="23">
        <f t="shared" si="86"/>
        <v>0</v>
      </c>
      <c r="Q280" s="23">
        <f t="shared" si="86"/>
        <v>3</v>
      </c>
      <c r="R280" s="23">
        <f t="shared" si="86"/>
        <v>0</v>
      </c>
      <c r="S280" s="23">
        <f t="shared" si="86"/>
        <v>0</v>
      </c>
      <c r="T280" s="35"/>
      <c r="U280" s="46" t="s">
        <v>2708</v>
      </c>
    </row>
    <row r="281" ht="18.5" customHeight="1" outlineLevel="2" spans="1:21">
      <c r="A281" s="24" t="s">
        <v>984</v>
      </c>
      <c r="B281" s="25" t="s">
        <v>985</v>
      </c>
      <c r="C281" s="26">
        <f t="shared" ref="C281:C285" si="87">SUM(D281:E281)</f>
        <v>25</v>
      </c>
      <c r="D281" s="29"/>
      <c r="E281" s="29">
        <v>25</v>
      </c>
      <c r="F281" s="29"/>
      <c r="G281" s="26">
        <f t="shared" ref="G281:G285" si="88">SUM(P281,Q281,H281)</f>
        <v>25</v>
      </c>
      <c r="H281" s="26">
        <f t="shared" ref="H281:H285" si="89">SUM(I281:O281)</f>
        <v>23</v>
      </c>
      <c r="I281" s="29"/>
      <c r="J281" s="29"/>
      <c r="K281" s="29">
        <v>23</v>
      </c>
      <c r="L281" s="29"/>
      <c r="M281" s="29"/>
      <c r="N281" s="29"/>
      <c r="O281" s="29"/>
      <c r="P281" s="29"/>
      <c r="Q281" s="29">
        <v>2</v>
      </c>
      <c r="R281" s="29"/>
      <c r="S281" s="29"/>
      <c r="T281" s="42"/>
      <c r="U281" s="40" t="s">
        <v>2742</v>
      </c>
    </row>
    <row r="282" ht="18.5" customHeight="1" outlineLevel="2" spans="1:21">
      <c r="A282" s="24" t="s">
        <v>986</v>
      </c>
      <c r="B282" s="25" t="s">
        <v>987</v>
      </c>
      <c r="C282" s="26">
        <f t="shared" si="87"/>
        <v>8</v>
      </c>
      <c r="D282" s="29"/>
      <c r="E282" s="29">
        <v>8</v>
      </c>
      <c r="F282" s="29"/>
      <c r="G282" s="26">
        <f t="shared" si="88"/>
        <v>8</v>
      </c>
      <c r="H282" s="26">
        <f t="shared" si="89"/>
        <v>7</v>
      </c>
      <c r="I282" s="29"/>
      <c r="J282" s="29"/>
      <c r="K282" s="29">
        <v>7</v>
      </c>
      <c r="L282" s="29"/>
      <c r="M282" s="29"/>
      <c r="N282" s="29"/>
      <c r="O282" s="29"/>
      <c r="P282" s="29"/>
      <c r="Q282" s="29">
        <v>1</v>
      </c>
      <c r="R282" s="29"/>
      <c r="S282" s="29"/>
      <c r="T282" s="42"/>
      <c r="U282" s="40" t="s">
        <v>2741</v>
      </c>
    </row>
    <row r="283" s="9" customFormat="1" ht="18.5" customHeight="1" outlineLevel="1" spans="1:21">
      <c r="A283" s="24" t="s">
        <v>988</v>
      </c>
      <c r="B283" s="25" t="s">
        <v>989</v>
      </c>
      <c r="C283" s="26">
        <f t="shared" si="87"/>
        <v>1</v>
      </c>
      <c r="D283" s="29"/>
      <c r="E283" s="29">
        <v>1</v>
      </c>
      <c r="F283" s="29"/>
      <c r="G283" s="26">
        <f t="shared" si="88"/>
        <v>1</v>
      </c>
      <c r="H283" s="26">
        <f t="shared" si="89"/>
        <v>1</v>
      </c>
      <c r="I283" s="29"/>
      <c r="J283" s="29"/>
      <c r="K283" s="29">
        <v>1</v>
      </c>
      <c r="L283" s="29"/>
      <c r="M283" s="29"/>
      <c r="N283" s="29"/>
      <c r="O283" s="29"/>
      <c r="P283" s="29"/>
      <c r="Q283" s="29"/>
      <c r="R283" s="29"/>
      <c r="S283" s="29"/>
      <c r="T283" s="42"/>
      <c r="U283" s="40" t="s">
        <v>2742</v>
      </c>
    </row>
    <row r="284" ht="18.5" customHeight="1" outlineLevel="2" spans="1:21">
      <c r="A284" s="24" t="s">
        <v>990</v>
      </c>
      <c r="B284" s="25" t="s">
        <v>991</v>
      </c>
      <c r="C284" s="26">
        <f t="shared" si="87"/>
        <v>1</v>
      </c>
      <c r="D284" s="29"/>
      <c r="E284" s="29">
        <v>1</v>
      </c>
      <c r="F284" s="29"/>
      <c r="G284" s="26">
        <f t="shared" si="88"/>
        <v>1</v>
      </c>
      <c r="H284" s="26">
        <f t="shared" si="89"/>
        <v>1</v>
      </c>
      <c r="I284" s="29"/>
      <c r="J284" s="29"/>
      <c r="K284" s="29">
        <v>1</v>
      </c>
      <c r="L284" s="29"/>
      <c r="M284" s="29"/>
      <c r="N284" s="29"/>
      <c r="O284" s="29"/>
      <c r="P284" s="29"/>
      <c r="Q284" s="29"/>
      <c r="R284" s="29"/>
      <c r="S284" s="29"/>
      <c r="T284" s="42"/>
      <c r="U284" s="40" t="s">
        <v>2742</v>
      </c>
    </row>
    <row r="285" ht="18.5" customHeight="1" outlineLevel="2" spans="1:21">
      <c r="A285" s="24" t="s">
        <v>992</v>
      </c>
      <c r="B285" s="25" t="s">
        <v>993</v>
      </c>
      <c r="C285" s="26">
        <f t="shared" si="87"/>
        <v>1</v>
      </c>
      <c r="D285" s="29"/>
      <c r="E285" s="29">
        <v>1</v>
      </c>
      <c r="F285" s="29"/>
      <c r="G285" s="26">
        <f t="shared" si="88"/>
        <v>1</v>
      </c>
      <c r="H285" s="26">
        <f t="shared" si="89"/>
        <v>1</v>
      </c>
      <c r="I285" s="29"/>
      <c r="J285" s="29"/>
      <c r="K285" s="29">
        <v>1</v>
      </c>
      <c r="L285" s="29"/>
      <c r="M285" s="29"/>
      <c r="N285" s="29"/>
      <c r="O285" s="29"/>
      <c r="P285" s="29"/>
      <c r="Q285" s="29"/>
      <c r="R285" s="29"/>
      <c r="S285" s="29"/>
      <c r="T285" s="42"/>
      <c r="U285" s="40" t="s">
        <v>2742</v>
      </c>
    </row>
    <row r="286" ht="18.5" customHeight="1" outlineLevel="2" spans="1:21">
      <c r="A286" s="21" t="s">
        <v>2760</v>
      </c>
      <c r="B286" s="27" t="s">
        <v>994</v>
      </c>
      <c r="C286" s="23">
        <f t="shared" ref="C286:S286" si="90">SUM(C287:C290)</f>
        <v>89</v>
      </c>
      <c r="D286" s="23">
        <f t="shared" si="90"/>
        <v>31</v>
      </c>
      <c r="E286" s="23">
        <f t="shared" si="90"/>
        <v>58</v>
      </c>
      <c r="F286" s="23">
        <f t="shared" si="90"/>
        <v>0</v>
      </c>
      <c r="G286" s="23">
        <f t="shared" si="90"/>
        <v>116</v>
      </c>
      <c r="H286" s="23">
        <f t="shared" si="90"/>
        <v>90</v>
      </c>
      <c r="I286" s="23">
        <f t="shared" si="90"/>
        <v>32</v>
      </c>
      <c r="J286" s="23">
        <f t="shared" si="90"/>
        <v>0</v>
      </c>
      <c r="K286" s="23">
        <f t="shared" si="90"/>
        <v>56</v>
      </c>
      <c r="L286" s="23">
        <f t="shared" si="90"/>
        <v>0</v>
      </c>
      <c r="M286" s="23">
        <f t="shared" si="90"/>
        <v>0</v>
      </c>
      <c r="N286" s="23">
        <f t="shared" si="90"/>
        <v>0</v>
      </c>
      <c r="O286" s="23">
        <f t="shared" si="90"/>
        <v>2</v>
      </c>
      <c r="P286" s="23">
        <f t="shared" si="90"/>
        <v>0</v>
      </c>
      <c r="Q286" s="23">
        <f t="shared" si="90"/>
        <v>26</v>
      </c>
      <c r="R286" s="23">
        <f t="shared" si="90"/>
        <v>0</v>
      </c>
      <c r="S286" s="23">
        <f t="shared" si="90"/>
        <v>0</v>
      </c>
      <c r="T286" s="35"/>
      <c r="U286" s="46" t="s">
        <v>2708</v>
      </c>
    </row>
    <row r="287" ht="18.5" customHeight="1" outlineLevel="2" spans="1:21">
      <c r="A287" s="24" t="s">
        <v>995</v>
      </c>
      <c r="B287" s="25" t="s">
        <v>1162</v>
      </c>
      <c r="C287" s="26">
        <f t="shared" ref="C287:C290" si="91">SUM(D287:E287)</f>
        <v>31</v>
      </c>
      <c r="D287" s="29">
        <v>31</v>
      </c>
      <c r="E287" s="29"/>
      <c r="F287" s="29"/>
      <c r="G287" s="26">
        <f t="shared" ref="G287:G290" si="92">SUM(P287,Q287,H287)</f>
        <v>57</v>
      </c>
      <c r="H287" s="26">
        <f t="shared" ref="H287:H290" si="93">SUM(I287:O287)</f>
        <v>34</v>
      </c>
      <c r="I287" s="29">
        <v>32</v>
      </c>
      <c r="J287" s="29"/>
      <c r="K287" s="29"/>
      <c r="L287" s="29"/>
      <c r="M287" s="29"/>
      <c r="N287" s="29"/>
      <c r="O287" s="29">
        <v>2</v>
      </c>
      <c r="P287" s="29"/>
      <c r="Q287" s="29">
        <v>23</v>
      </c>
      <c r="R287" s="29"/>
      <c r="S287" s="29"/>
      <c r="T287" s="42"/>
      <c r="U287" s="40" t="s">
        <v>2740</v>
      </c>
    </row>
    <row r="288" ht="18.5" customHeight="1" spans="1:21">
      <c r="A288" s="24" t="s">
        <v>997</v>
      </c>
      <c r="B288" s="25" t="s">
        <v>998</v>
      </c>
      <c r="C288" s="26">
        <f t="shared" si="91"/>
        <v>26</v>
      </c>
      <c r="D288" s="29"/>
      <c r="E288" s="29">
        <v>26</v>
      </c>
      <c r="F288" s="29"/>
      <c r="G288" s="26">
        <f t="shared" si="92"/>
        <v>28</v>
      </c>
      <c r="H288" s="26">
        <f t="shared" si="93"/>
        <v>25</v>
      </c>
      <c r="I288" s="29"/>
      <c r="J288" s="29"/>
      <c r="K288" s="29">
        <v>25</v>
      </c>
      <c r="L288" s="29"/>
      <c r="M288" s="29"/>
      <c r="N288" s="29"/>
      <c r="O288" s="29"/>
      <c r="P288" s="29"/>
      <c r="Q288" s="29">
        <v>3</v>
      </c>
      <c r="R288" s="29"/>
      <c r="S288" s="29"/>
      <c r="T288" s="42"/>
      <c r="U288" s="40" t="s">
        <v>2742</v>
      </c>
    </row>
    <row r="289" ht="18.5" customHeight="1" spans="1:21">
      <c r="A289" s="24" t="s">
        <v>999</v>
      </c>
      <c r="B289" s="25" t="s">
        <v>1000</v>
      </c>
      <c r="C289" s="26">
        <f t="shared" si="91"/>
        <v>11</v>
      </c>
      <c r="D289" s="29"/>
      <c r="E289" s="29">
        <v>11</v>
      </c>
      <c r="F289" s="29"/>
      <c r="G289" s="26">
        <f t="shared" si="92"/>
        <v>9</v>
      </c>
      <c r="H289" s="26">
        <f t="shared" si="93"/>
        <v>9</v>
      </c>
      <c r="I289" s="29"/>
      <c r="J289" s="29"/>
      <c r="K289" s="29">
        <v>9</v>
      </c>
      <c r="L289" s="29"/>
      <c r="M289" s="29"/>
      <c r="N289" s="29"/>
      <c r="O289" s="29"/>
      <c r="P289" s="29"/>
      <c r="Q289" s="29"/>
      <c r="R289" s="29"/>
      <c r="S289" s="29"/>
      <c r="T289" s="42"/>
      <c r="U289" s="40" t="s">
        <v>2742</v>
      </c>
    </row>
    <row r="290" ht="18.5" customHeight="1" spans="1:21">
      <c r="A290" s="24" t="s">
        <v>1001</v>
      </c>
      <c r="B290" s="25" t="s">
        <v>1002</v>
      </c>
      <c r="C290" s="26">
        <f t="shared" si="91"/>
        <v>21</v>
      </c>
      <c r="D290" s="29"/>
      <c r="E290" s="29">
        <v>21</v>
      </c>
      <c r="F290" s="29"/>
      <c r="G290" s="26">
        <f t="shared" si="92"/>
        <v>22</v>
      </c>
      <c r="H290" s="26">
        <f t="shared" si="93"/>
        <v>22</v>
      </c>
      <c r="I290" s="29"/>
      <c r="J290" s="29"/>
      <c r="K290" s="29">
        <v>22</v>
      </c>
      <c r="L290" s="29"/>
      <c r="M290" s="29"/>
      <c r="N290" s="29"/>
      <c r="O290" s="29"/>
      <c r="P290" s="29"/>
      <c r="Q290" s="29"/>
      <c r="R290" s="29"/>
      <c r="S290" s="29"/>
      <c r="T290" s="42"/>
      <c r="U290" s="40" t="s">
        <v>2742</v>
      </c>
    </row>
    <row r="291" ht="18.5" customHeight="1" spans="1:21">
      <c r="A291" s="24" t="s">
        <v>999</v>
      </c>
      <c r="B291" s="25" t="s">
        <v>1000</v>
      </c>
      <c r="C291" s="29">
        <v>11</v>
      </c>
      <c r="D291" s="29"/>
      <c r="E291" s="29">
        <v>11</v>
      </c>
      <c r="F291" s="29"/>
      <c r="G291" s="29">
        <v>9</v>
      </c>
      <c r="H291" s="29">
        <v>9</v>
      </c>
      <c r="I291" s="29"/>
      <c r="J291" s="29"/>
      <c r="K291" s="29">
        <v>9</v>
      </c>
      <c r="L291" s="29"/>
      <c r="M291" s="29"/>
      <c r="N291" s="29"/>
      <c r="O291" s="29"/>
      <c r="P291" s="29"/>
      <c r="Q291" s="29"/>
      <c r="R291" s="29"/>
      <c r="S291" s="29"/>
      <c r="T291" s="42"/>
      <c r="U291" s="40" t="s">
        <v>2742</v>
      </c>
    </row>
    <row r="292" ht="18.5" customHeight="1" spans="1:21">
      <c r="A292" s="24" t="s">
        <v>1001</v>
      </c>
      <c r="B292" s="25" t="s">
        <v>1002</v>
      </c>
      <c r="C292" s="29">
        <v>21</v>
      </c>
      <c r="D292" s="29"/>
      <c r="E292" s="29">
        <v>21</v>
      </c>
      <c r="F292" s="29"/>
      <c r="G292" s="29">
        <v>22</v>
      </c>
      <c r="H292" s="29">
        <v>22</v>
      </c>
      <c r="I292" s="29"/>
      <c r="J292" s="29"/>
      <c r="K292" s="29">
        <v>22</v>
      </c>
      <c r="L292" s="29"/>
      <c r="M292" s="29"/>
      <c r="N292" s="29"/>
      <c r="O292" s="29"/>
      <c r="P292" s="29"/>
      <c r="Q292" s="29"/>
      <c r="R292" s="29"/>
      <c r="S292" s="29"/>
      <c r="T292" s="42"/>
      <c r="U292" s="40" t="s">
        <v>2742</v>
      </c>
    </row>
  </sheetData>
  <sheetProtection password="C70D" sheet="1" objects="1"/>
  <autoFilter ref="A6:V292">
    <extLst/>
  </autoFilter>
  <mergeCells count="17">
    <mergeCell ref="R3:T3"/>
    <mergeCell ref="C4:F4"/>
    <mergeCell ref="G4:Q4"/>
    <mergeCell ref="R4:S4"/>
    <mergeCell ref="H5:O5"/>
    <mergeCell ref="A4:A6"/>
    <mergeCell ref="B4:B6"/>
    <mergeCell ref="C5:C6"/>
    <mergeCell ref="D5:D6"/>
    <mergeCell ref="E5:E6"/>
    <mergeCell ref="F5:F6"/>
    <mergeCell ref="G5:G6"/>
    <mergeCell ref="P5:P6"/>
    <mergeCell ref="Q5:Q6"/>
    <mergeCell ref="R5:R6"/>
    <mergeCell ref="S5:S6"/>
    <mergeCell ref="T4:T6"/>
  </mergeCells>
  <printOptions horizontalCentered="1"/>
  <pageMargins left="0.590277777777778" right="0.393055555555556" top="0.984027777777778" bottom="0.590277777777778" header="0.314583333333333" footer="0.314583333333333"/>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F33"/>
  <sheetViews>
    <sheetView view="pageBreakPreview" zoomScaleNormal="100" workbookViewId="0">
      <pane xSplit="1" ySplit="4" topLeftCell="B25" activePane="bottomRight" state="frozen"/>
      <selection/>
      <selection pane="topRight"/>
      <selection pane="bottomLeft"/>
      <selection pane="bottomRight" activeCell="A2" sqref="A2:F2"/>
    </sheetView>
  </sheetViews>
  <sheetFormatPr defaultColWidth="9" defaultRowHeight="14.25" outlineLevelCol="5"/>
  <cols>
    <col min="1" max="1" width="24.25" customWidth="1"/>
    <col min="2" max="3" width="11.625" customWidth="1"/>
    <col min="4" max="4" width="11.625" style="335" customWidth="1"/>
    <col min="5" max="5" width="13.625" customWidth="1"/>
    <col min="6" max="6" width="9.625" customWidth="1"/>
    <col min="8" max="8" width="12.625"/>
    <col min="10" max="10" width="11.5"/>
  </cols>
  <sheetData>
    <row r="1" s="1" customFormat="1" ht="20.1" customHeight="1" spans="1:4">
      <c r="A1" s="1" t="s">
        <v>6</v>
      </c>
      <c r="D1" s="337"/>
    </row>
    <row r="2" s="2" customFormat="1" ht="45" customHeight="1" spans="1:6">
      <c r="A2" s="47" t="s">
        <v>82</v>
      </c>
      <c r="B2" s="47"/>
      <c r="C2" s="47"/>
      <c r="D2" s="338"/>
      <c r="E2" s="47"/>
      <c r="F2" s="47"/>
    </row>
    <row r="3" s="3" customFormat="1" ht="20.1" customHeight="1" spans="4:6">
      <c r="D3" s="339"/>
      <c r="F3" s="32" t="s">
        <v>45</v>
      </c>
    </row>
    <row r="4" s="4" customFormat="1" ht="39.95" customHeight="1" spans="1:6">
      <c r="A4" s="19" t="s">
        <v>46</v>
      </c>
      <c r="B4" s="20" t="s">
        <v>47</v>
      </c>
      <c r="C4" s="20" t="s">
        <v>48</v>
      </c>
      <c r="D4" s="342" t="s">
        <v>49</v>
      </c>
      <c r="E4" s="20" t="s">
        <v>50</v>
      </c>
      <c r="F4" s="20" t="s">
        <v>51</v>
      </c>
    </row>
    <row r="5" s="6" customFormat="1" ht="21.95" customHeight="1" spans="1:6">
      <c r="A5" s="48" t="s">
        <v>83</v>
      </c>
      <c r="B5" s="344">
        <f>B6+B20</f>
        <v>408185</v>
      </c>
      <c r="C5" s="381">
        <f>C6+C20</f>
        <v>475580</v>
      </c>
      <c r="D5" s="345">
        <f>D6+D20</f>
        <v>475822</v>
      </c>
      <c r="E5" s="346">
        <f>ROUND(D5/C5*100,2)</f>
        <v>100.05</v>
      </c>
      <c r="F5" s="346">
        <f t="shared" ref="F5:F33" si="0">ROUND((D5/B5-1)*100,1)</f>
        <v>16.6</v>
      </c>
    </row>
    <row r="6" ht="21.95" customHeight="1" spans="1:6">
      <c r="A6" s="57" t="s">
        <v>53</v>
      </c>
      <c r="B6" s="382">
        <f>SUM(B7:B19)</f>
        <v>306198</v>
      </c>
      <c r="C6" s="382">
        <f>SUM(C7:C19)</f>
        <v>352160</v>
      </c>
      <c r="D6" s="383">
        <f>SUM(D7:D19)</f>
        <v>347148</v>
      </c>
      <c r="E6" s="349">
        <f t="shared" ref="E6:E33" si="1">ROUND(D6/C6*100,2)</f>
        <v>98.58</v>
      </c>
      <c r="F6" s="349">
        <f t="shared" si="0"/>
        <v>13.4</v>
      </c>
    </row>
    <row r="7" ht="21.95" customHeight="1" spans="1:6">
      <c r="A7" s="350" t="s">
        <v>54</v>
      </c>
      <c r="B7" s="382">
        <v>98329</v>
      </c>
      <c r="C7" s="382">
        <f>142500</f>
        <v>142500</v>
      </c>
      <c r="D7" s="383">
        <v>144817</v>
      </c>
      <c r="E7" s="349">
        <f t="shared" si="1"/>
        <v>101.63</v>
      </c>
      <c r="F7" s="349">
        <f t="shared" si="0"/>
        <v>47.3</v>
      </c>
    </row>
    <row r="8" ht="21.95" customHeight="1" spans="1:6">
      <c r="A8" s="350" t="s">
        <v>84</v>
      </c>
      <c r="B8" s="382">
        <v>63538</v>
      </c>
      <c r="C8" s="383">
        <v>69200</v>
      </c>
      <c r="D8" s="383">
        <v>66572</v>
      </c>
      <c r="E8" s="349">
        <f t="shared" si="1"/>
        <v>96.2</v>
      </c>
      <c r="F8" s="349">
        <f t="shared" si="0"/>
        <v>4.8</v>
      </c>
    </row>
    <row r="9" ht="21.95" customHeight="1" spans="1:6">
      <c r="A9" s="350" t="s">
        <v>85</v>
      </c>
      <c r="B9" s="382">
        <v>10233</v>
      </c>
      <c r="C9" s="383">
        <v>7810</v>
      </c>
      <c r="D9" s="383">
        <v>8770</v>
      </c>
      <c r="E9" s="349">
        <f t="shared" si="1"/>
        <v>112.29</v>
      </c>
      <c r="F9" s="349">
        <f t="shared" si="0"/>
        <v>-14.3</v>
      </c>
    </row>
    <row r="10" ht="21.95" customHeight="1" spans="1:6">
      <c r="A10" s="350" t="s">
        <v>86</v>
      </c>
      <c r="B10" s="382">
        <v>17410</v>
      </c>
      <c r="C10" s="383">
        <v>17000</v>
      </c>
      <c r="D10" s="383">
        <v>16664</v>
      </c>
      <c r="E10" s="349">
        <f t="shared" si="1"/>
        <v>98.02</v>
      </c>
      <c r="F10" s="349">
        <f t="shared" si="0"/>
        <v>-4.3</v>
      </c>
    </row>
    <row r="11" ht="21.95" customHeight="1" spans="1:6">
      <c r="A11" s="350" t="s">
        <v>87</v>
      </c>
      <c r="B11" s="382">
        <v>18773</v>
      </c>
      <c r="C11" s="383">
        <v>21000</v>
      </c>
      <c r="D11" s="383">
        <v>22219</v>
      </c>
      <c r="E11" s="349">
        <f t="shared" si="1"/>
        <v>105.8</v>
      </c>
      <c r="F11" s="349">
        <f t="shared" si="0"/>
        <v>18.4</v>
      </c>
    </row>
    <row r="12" ht="21.95" customHeight="1" spans="1:6">
      <c r="A12" s="350" t="s">
        <v>88</v>
      </c>
      <c r="B12" s="382">
        <v>9028</v>
      </c>
      <c r="C12" s="383">
        <v>11500</v>
      </c>
      <c r="D12" s="383">
        <v>10173</v>
      </c>
      <c r="E12" s="349">
        <f t="shared" si="1"/>
        <v>88.46</v>
      </c>
      <c r="F12" s="349">
        <f t="shared" si="0"/>
        <v>12.7</v>
      </c>
    </row>
    <row r="13" ht="21.95" customHeight="1" spans="1:6">
      <c r="A13" s="350" t="s">
        <v>89</v>
      </c>
      <c r="B13" s="382">
        <v>5005</v>
      </c>
      <c r="C13" s="383">
        <v>6700</v>
      </c>
      <c r="D13" s="383">
        <v>6296</v>
      </c>
      <c r="E13" s="349">
        <f t="shared" si="1"/>
        <v>93.97</v>
      </c>
      <c r="F13" s="349">
        <f t="shared" si="0"/>
        <v>25.8</v>
      </c>
    </row>
    <row r="14" ht="21.95" customHeight="1" spans="1:6">
      <c r="A14" s="350" t="s">
        <v>90</v>
      </c>
      <c r="B14" s="382">
        <v>7556</v>
      </c>
      <c r="C14" s="383">
        <v>11000</v>
      </c>
      <c r="D14" s="383">
        <v>9294</v>
      </c>
      <c r="E14" s="349">
        <f t="shared" si="1"/>
        <v>84.49</v>
      </c>
      <c r="F14" s="349">
        <f t="shared" si="0"/>
        <v>23</v>
      </c>
    </row>
    <row r="15" ht="21.95" customHeight="1" spans="1:6">
      <c r="A15" s="350" t="s">
        <v>91</v>
      </c>
      <c r="B15" s="382">
        <v>13127</v>
      </c>
      <c r="C15" s="383">
        <v>5500</v>
      </c>
      <c r="D15" s="383">
        <v>3784</v>
      </c>
      <c r="E15" s="349">
        <f t="shared" si="1"/>
        <v>68.8</v>
      </c>
      <c r="F15" s="349">
        <f t="shared" si="0"/>
        <v>-71.2</v>
      </c>
    </row>
    <row r="16" ht="21.95" customHeight="1" spans="1:6">
      <c r="A16" s="350" t="s">
        <v>92</v>
      </c>
      <c r="B16" s="382">
        <v>2544</v>
      </c>
      <c r="C16" s="383">
        <v>3080</v>
      </c>
      <c r="D16" s="383">
        <v>2721</v>
      </c>
      <c r="E16" s="349">
        <f t="shared" si="1"/>
        <v>88.34</v>
      </c>
      <c r="F16" s="349">
        <f t="shared" si="0"/>
        <v>7</v>
      </c>
    </row>
    <row r="17" ht="21.95" customHeight="1" spans="1:6">
      <c r="A17" s="350" t="s">
        <v>93</v>
      </c>
      <c r="B17" s="382">
        <v>11599</v>
      </c>
      <c r="C17" s="383">
        <v>33000</v>
      </c>
      <c r="D17" s="383">
        <v>34563</v>
      </c>
      <c r="E17" s="349">
        <f t="shared" si="1"/>
        <v>104.74</v>
      </c>
      <c r="F17" s="349">
        <f t="shared" si="0"/>
        <v>198</v>
      </c>
    </row>
    <row r="18" ht="21.95" customHeight="1" spans="1:6">
      <c r="A18" s="350" t="s">
        <v>94</v>
      </c>
      <c r="B18" s="382">
        <v>48126</v>
      </c>
      <c r="C18" s="383">
        <v>22870</v>
      </c>
      <c r="D18" s="383">
        <v>20557</v>
      </c>
      <c r="E18" s="349">
        <f t="shared" si="1"/>
        <v>89.89</v>
      </c>
      <c r="F18" s="349">
        <f t="shared" si="0"/>
        <v>-57.3</v>
      </c>
    </row>
    <row r="19" ht="21.95" customHeight="1" spans="1:6">
      <c r="A19" s="350" t="s">
        <v>95</v>
      </c>
      <c r="B19" s="382">
        <v>930</v>
      </c>
      <c r="C19" s="383">
        <v>1000</v>
      </c>
      <c r="D19" s="383">
        <v>718</v>
      </c>
      <c r="E19" s="349">
        <f t="shared" si="1"/>
        <v>71.8</v>
      </c>
      <c r="F19" s="349">
        <f t="shared" si="0"/>
        <v>-22.8</v>
      </c>
    </row>
    <row r="20" ht="21.95" customHeight="1" spans="1:6">
      <c r="A20" s="57" t="s">
        <v>68</v>
      </c>
      <c r="B20" s="382">
        <f>SUM(B21,B28:B33)</f>
        <v>101987</v>
      </c>
      <c r="C20" s="382">
        <f>SUM(C21,C28:C33)</f>
        <v>123420</v>
      </c>
      <c r="D20" s="383">
        <f>SUM(D21,D28:D33)</f>
        <v>128674</v>
      </c>
      <c r="E20" s="349">
        <f t="shared" si="1"/>
        <v>104.26</v>
      </c>
      <c r="F20" s="349">
        <f t="shared" si="0"/>
        <v>26.2</v>
      </c>
    </row>
    <row r="21" ht="21.95" customHeight="1" spans="1:6">
      <c r="A21" s="350" t="s">
        <v>69</v>
      </c>
      <c r="B21" s="382">
        <f>SUM(B22:B27)</f>
        <v>13951</v>
      </c>
      <c r="C21" s="382">
        <f>SUM(C22:C27)</f>
        <v>16750</v>
      </c>
      <c r="D21" s="383">
        <f>SUM(D22:D27)</f>
        <v>16645</v>
      </c>
      <c r="E21" s="349">
        <f t="shared" si="1"/>
        <v>99.37</v>
      </c>
      <c r="F21" s="349">
        <f t="shared" si="0"/>
        <v>19.3</v>
      </c>
    </row>
    <row r="22" ht="21.95" customHeight="1" spans="1:6">
      <c r="A22" s="352" t="s">
        <v>70</v>
      </c>
      <c r="B22" s="382">
        <v>8667</v>
      </c>
      <c r="C22" s="305">
        <v>10200</v>
      </c>
      <c r="D22" s="383">
        <v>10455</v>
      </c>
      <c r="E22" s="349">
        <f t="shared" si="1"/>
        <v>102.5</v>
      </c>
      <c r="F22" s="349">
        <f t="shared" si="0"/>
        <v>20.6</v>
      </c>
    </row>
    <row r="23" ht="21.95" customHeight="1" spans="1:6">
      <c r="A23" s="352" t="s">
        <v>71</v>
      </c>
      <c r="B23" s="382">
        <v>4042</v>
      </c>
      <c r="C23" s="305">
        <v>5250</v>
      </c>
      <c r="D23" s="383">
        <v>4918</v>
      </c>
      <c r="E23" s="349">
        <f t="shared" si="1"/>
        <v>93.68</v>
      </c>
      <c r="F23" s="349">
        <f t="shared" si="0"/>
        <v>21.7</v>
      </c>
    </row>
    <row r="24" ht="21.95" customHeight="1" spans="1:6">
      <c r="A24" s="352" t="s">
        <v>72</v>
      </c>
      <c r="B24" s="382">
        <v>901</v>
      </c>
      <c r="C24" s="305">
        <v>1000</v>
      </c>
      <c r="D24" s="383">
        <v>1221</v>
      </c>
      <c r="E24" s="349">
        <f t="shared" si="1"/>
        <v>122.1</v>
      </c>
      <c r="F24" s="349">
        <f t="shared" si="0"/>
        <v>35.5</v>
      </c>
    </row>
    <row r="25" ht="21.95" customHeight="1" spans="1:6">
      <c r="A25" s="352" t="s">
        <v>73</v>
      </c>
      <c r="B25" s="382"/>
      <c r="C25" s="305"/>
      <c r="D25" s="383"/>
      <c r="E25" s="349"/>
      <c r="F25" s="349"/>
    </row>
    <row r="26" ht="21.95" customHeight="1" spans="1:6">
      <c r="A26" s="352" t="s">
        <v>74</v>
      </c>
      <c r="B26" s="382"/>
      <c r="C26" s="305"/>
      <c r="D26" s="383"/>
      <c r="E26" s="349"/>
      <c r="F26" s="349"/>
    </row>
    <row r="27" ht="21.95" customHeight="1" spans="1:6">
      <c r="A27" s="352" t="s">
        <v>75</v>
      </c>
      <c r="B27" s="382">
        <v>341</v>
      </c>
      <c r="C27" s="305">
        <v>300</v>
      </c>
      <c r="D27" s="383">
        <v>51</v>
      </c>
      <c r="E27" s="349">
        <f>ROUND(D27/C27*100,2)</f>
        <v>17</v>
      </c>
      <c r="F27" s="349">
        <f t="shared" si="0"/>
        <v>-85</v>
      </c>
    </row>
    <row r="28" ht="21.95" customHeight="1" spans="1:6">
      <c r="A28" s="350" t="s">
        <v>76</v>
      </c>
      <c r="B28" s="382">
        <v>5770</v>
      </c>
      <c r="C28" s="348">
        <f>8700-500-1000</f>
        <v>7200</v>
      </c>
      <c r="D28" s="383">
        <v>8150</v>
      </c>
      <c r="E28" s="349">
        <f t="shared" si="1"/>
        <v>113.19</v>
      </c>
      <c r="F28" s="349">
        <f t="shared" si="0"/>
        <v>41.2</v>
      </c>
    </row>
    <row r="29" ht="21.95" customHeight="1" spans="1:6">
      <c r="A29" s="350" t="s">
        <v>77</v>
      </c>
      <c r="B29" s="382">
        <v>20346</v>
      </c>
      <c r="C29" s="348">
        <f>23600+3800-1000</f>
        <v>26400</v>
      </c>
      <c r="D29" s="383">
        <v>28101</v>
      </c>
      <c r="E29" s="349">
        <f t="shared" si="1"/>
        <v>106.44</v>
      </c>
      <c r="F29" s="349">
        <f t="shared" si="0"/>
        <v>38.1</v>
      </c>
    </row>
    <row r="30" ht="21.95" customHeight="1" spans="1:6">
      <c r="A30" s="350" t="s">
        <v>78</v>
      </c>
      <c r="B30" s="382"/>
      <c r="C30" s="348"/>
      <c r="D30" s="383"/>
      <c r="E30" s="349"/>
      <c r="F30" s="349"/>
    </row>
    <row r="31" ht="21.95" customHeight="1" spans="1:6">
      <c r="A31" s="350" t="s">
        <v>79</v>
      </c>
      <c r="B31" s="382">
        <v>60484</v>
      </c>
      <c r="C31" s="348">
        <f>66840+4000+2200-2300-500</f>
        <v>70240</v>
      </c>
      <c r="D31" s="383">
        <v>72765</v>
      </c>
      <c r="E31" s="349">
        <f t="shared" si="1"/>
        <v>103.59</v>
      </c>
      <c r="F31" s="349">
        <f t="shared" si="0"/>
        <v>20.3</v>
      </c>
    </row>
    <row r="32" ht="21.95" customHeight="1" spans="1:6">
      <c r="A32" s="350" t="s">
        <v>80</v>
      </c>
      <c r="B32" s="382">
        <v>867</v>
      </c>
      <c r="C32" s="348">
        <v>330</v>
      </c>
      <c r="D32" s="383">
        <v>530</v>
      </c>
      <c r="E32" s="349">
        <f t="shared" si="1"/>
        <v>160.61</v>
      </c>
      <c r="F32" s="349">
        <f t="shared" si="0"/>
        <v>-38.9</v>
      </c>
    </row>
    <row r="33" ht="21.95" customHeight="1" spans="1:6">
      <c r="A33" s="350" t="s">
        <v>81</v>
      </c>
      <c r="B33" s="382">
        <v>569</v>
      </c>
      <c r="C33" s="348">
        <v>2500</v>
      </c>
      <c r="D33" s="383">
        <v>2483</v>
      </c>
      <c r="E33" s="349">
        <f t="shared" si="1"/>
        <v>99.32</v>
      </c>
      <c r="F33" s="349">
        <f t="shared" si="0"/>
        <v>336.4</v>
      </c>
    </row>
  </sheetData>
  <mergeCells count="1">
    <mergeCell ref="A2:F2"/>
  </mergeCells>
  <printOptions horizontalCentered="1"/>
  <pageMargins left="0.786805555555556" right="0.590277777777778" top="0.984027777777778" bottom="0.786805555555556" header="0.313888888888889" footer="0.313888888888889"/>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F28"/>
  <sheetViews>
    <sheetView view="pageBreakPreview" zoomScaleNormal="100" workbookViewId="0">
      <pane xSplit="1" ySplit="4" topLeftCell="B21" activePane="bottomRight" state="frozen"/>
      <selection/>
      <selection pane="topRight"/>
      <selection pane="bottomLeft"/>
      <selection pane="bottomRight" activeCell="A2" sqref="A2:F2"/>
    </sheetView>
  </sheetViews>
  <sheetFormatPr defaultColWidth="9" defaultRowHeight="14.25" outlineLevelCol="5"/>
  <cols>
    <col min="1" max="1" width="27.875" customWidth="1"/>
    <col min="2" max="3" width="10.625" customWidth="1"/>
    <col min="4" max="4" width="10.625" style="335" customWidth="1"/>
    <col min="5" max="5" width="12.625" customWidth="1"/>
    <col min="6" max="6" width="9.625" customWidth="1"/>
  </cols>
  <sheetData>
    <row r="1" s="1" customFormat="1" ht="20.1" customHeight="1" spans="1:4">
      <c r="A1" s="1" t="s">
        <v>8</v>
      </c>
      <c r="D1" s="337"/>
    </row>
    <row r="2" s="2" customFormat="1" ht="45" customHeight="1" spans="1:6">
      <c r="A2" s="47" t="s">
        <v>96</v>
      </c>
      <c r="B2" s="47"/>
      <c r="C2" s="47"/>
      <c r="D2" s="338"/>
      <c r="E2" s="47"/>
      <c r="F2" s="47"/>
    </row>
    <row r="3" s="3" customFormat="1" ht="20.1" customHeight="1" spans="4:6">
      <c r="D3" s="339"/>
      <c r="F3" s="32" t="s">
        <v>45</v>
      </c>
    </row>
    <row r="4" ht="39.95" customHeight="1" spans="1:6">
      <c r="A4" s="19" t="s">
        <v>97</v>
      </c>
      <c r="B4" s="20" t="s">
        <v>47</v>
      </c>
      <c r="C4" s="20" t="s">
        <v>48</v>
      </c>
      <c r="D4" s="342" t="s">
        <v>49</v>
      </c>
      <c r="E4" s="20" t="s">
        <v>50</v>
      </c>
      <c r="F4" s="20" t="s">
        <v>51</v>
      </c>
    </row>
    <row r="5" s="8" customFormat="1" ht="26" customHeight="1" spans="1:6">
      <c r="A5" s="374" t="s">
        <v>98</v>
      </c>
      <c r="B5" s="375">
        <f>SUM(B6:B28)</f>
        <v>808698.054018</v>
      </c>
      <c r="C5" s="375">
        <f>SUM(C6:C28)</f>
        <v>810660</v>
      </c>
      <c r="D5" s="376">
        <f>SUM(D6:D28)</f>
        <v>779753.061643</v>
      </c>
      <c r="E5" s="377">
        <f>ROUND(D5/C5*100,1)</f>
        <v>96.2</v>
      </c>
      <c r="F5" s="377">
        <f>ROUND((D5/B5-1)*100,1)</f>
        <v>-3.6</v>
      </c>
    </row>
    <row r="6" ht="26" customHeight="1" spans="1:6">
      <c r="A6" s="305" t="s">
        <v>99</v>
      </c>
      <c r="B6" s="378">
        <v>102841.832</v>
      </c>
      <c r="C6" s="379">
        <v>108174</v>
      </c>
      <c r="D6" s="380">
        <v>114872.417889</v>
      </c>
      <c r="E6" s="349">
        <f t="shared" ref="E6:E28" si="0">ROUND(D6/C6*100,1)</f>
        <v>106.2</v>
      </c>
      <c r="F6" s="349">
        <f>ROUND((D6/B6-1)*100,1)</f>
        <v>11.7</v>
      </c>
    </row>
    <row r="7" ht="26" customHeight="1" spans="1:6">
      <c r="A7" s="305" t="s">
        <v>100</v>
      </c>
      <c r="B7" s="378"/>
      <c r="C7" s="379"/>
      <c r="D7" s="348"/>
      <c r="E7" s="349"/>
      <c r="F7" s="349"/>
    </row>
    <row r="8" ht="26" customHeight="1" spans="1:6">
      <c r="A8" s="305" t="s">
        <v>101</v>
      </c>
      <c r="B8" s="378">
        <v>31773.87</v>
      </c>
      <c r="C8" s="379">
        <v>36494</v>
      </c>
      <c r="D8" s="380">
        <v>32679.819135</v>
      </c>
      <c r="E8" s="349">
        <f t="shared" si="0"/>
        <v>89.5</v>
      </c>
      <c r="F8" s="349">
        <f t="shared" ref="F8:F28" si="1">ROUND((D8/B8-1)*100,1)</f>
        <v>2.9</v>
      </c>
    </row>
    <row r="9" ht="26" customHeight="1" spans="1:6">
      <c r="A9" s="305" t="s">
        <v>102</v>
      </c>
      <c r="B9" s="378">
        <v>130192.87</v>
      </c>
      <c r="C9" s="379">
        <v>155083</v>
      </c>
      <c r="D9" s="380">
        <v>145538.754437</v>
      </c>
      <c r="E9" s="349">
        <f t="shared" si="0"/>
        <v>93.8</v>
      </c>
      <c r="F9" s="349">
        <f t="shared" si="1"/>
        <v>11.8</v>
      </c>
    </row>
    <row r="10" ht="26" customHeight="1" spans="1:6">
      <c r="A10" s="305" t="s">
        <v>103</v>
      </c>
      <c r="B10" s="378">
        <v>25860</v>
      </c>
      <c r="C10" s="379">
        <v>26738</v>
      </c>
      <c r="D10" s="380">
        <v>26154.28701</v>
      </c>
      <c r="E10" s="349">
        <f t="shared" si="0"/>
        <v>97.8</v>
      </c>
      <c r="F10" s="349">
        <f t="shared" si="1"/>
        <v>1.1</v>
      </c>
    </row>
    <row r="11" ht="26" customHeight="1" spans="1:6">
      <c r="A11" s="305" t="s">
        <v>104</v>
      </c>
      <c r="B11" s="378">
        <v>10197.5244</v>
      </c>
      <c r="C11" s="379">
        <v>13322</v>
      </c>
      <c r="D11" s="380">
        <v>12442.779985</v>
      </c>
      <c r="E11" s="349">
        <f t="shared" si="0"/>
        <v>93.4</v>
      </c>
      <c r="F11" s="349">
        <f t="shared" si="1"/>
        <v>22</v>
      </c>
    </row>
    <row r="12" ht="26" customHeight="1" spans="1:6">
      <c r="A12" s="305" t="s">
        <v>105</v>
      </c>
      <c r="B12" s="378">
        <v>69189.13003</v>
      </c>
      <c r="C12" s="379">
        <v>79497</v>
      </c>
      <c r="D12" s="380">
        <v>73181.558477</v>
      </c>
      <c r="E12" s="349">
        <f t="shared" si="0"/>
        <v>92.1</v>
      </c>
      <c r="F12" s="349">
        <f t="shared" si="1"/>
        <v>5.8</v>
      </c>
    </row>
    <row r="13" ht="26" customHeight="1" spans="1:6">
      <c r="A13" s="305" t="s">
        <v>106</v>
      </c>
      <c r="B13" s="378">
        <v>58613.92</v>
      </c>
      <c r="C13" s="379">
        <v>55079</v>
      </c>
      <c r="D13" s="380">
        <v>47826.92031</v>
      </c>
      <c r="E13" s="349">
        <f t="shared" si="0"/>
        <v>86.8</v>
      </c>
      <c r="F13" s="349">
        <f t="shared" si="1"/>
        <v>-18.4</v>
      </c>
    </row>
    <row r="14" ht="26" customHeight="1" spans="1:6">
      <c r="A14" s="305" t="s">
        <v>107</v>
      </c>
      <c r="B14" s="378">
        <v>20540</v>
      </c>
      <c r="C14" s="379">
        <v>16885</v>
      </c>
      <c r="D14" s="380">
        <v>17719.281981</v>
      </c>
      <c r="E14" s="349">
        <f t="shared" si="0"/>
        <v>104.9</v>
      </c>
      <c r="F14" s="349">
        <f t="shared" si="1"/>
        <v>-13.7</v>
      </c>
    </row>
    <row r="15" ht="26" customHeight="1" spans="1:6">
      <c r="A15" s="305" t="s">
        <v>108</v>
      </c>
      <c r="B15" s="378">
        <v>77338.54</v>
      </c>
      <c r="C15" s="379">
        <v>90411</v>
      </c>
      <c r="D15" s="380">
        <v>83635.603992</v>
      </c>
      <c r="E15" s="349">
        <f t="shared" si="0"/>
        <v>92.5</v>
      </c>
      <c r="F15" s="349">
        <f t="shared" si="1"/>
        <v>8.1</v>
      </c>
    </row>
    <row r="16" ht="26" customHeight="1" spans="1:6">
      <c r="A16" s="305" t="s">
        <v>109</v>
      </c>
      <c r="B16" s="378">
        <v>94759.607588</v>
      </c>
      <c r="C16" s="379">
        <v>99840</v>
      </c>
      <c r="D16" s="380">
        <v>95040.518493</v>
      </c>
      <c r="E16" s="349">
        <f t="shared" si="0"/>
        <v>95.2</v>
      </c>
      <c r="F16" s="349">
        <f t="shared" si="1"/>
        <v>0.3</v>
      </c>
    </row>
    <row r="17" ht="26" customHeight="1" spans="1:6">
      <c r="A17" s="305" t="s">
        <v>110</v>
      </c>
      <c r="B17" s="378">
        <v>27368</v>
      </c>
      <c r="C17" s="379">
        <v>23152</v>
      </c>
      <c r="D17" s="380">
        <v>22543.655692</v>
      </c>
      <c r="E17" s="349">
        <f t="shared" si="0"/>
        <v>97.4</v>
      </c>
      <c r="F17" s="349">
        <f t="shared" si="1"/>
        <v>-17.6</v>
      </c>
    </row>
    <row r="18" ht="26" customHeight="1" spans="1:6">
      <c r="A18" s="305" t="s">
        <v>111</v>
      </c>
      <c r="B18" s="378">
        <v>110616.76</v>
      </c>
      <c r="C18" s="379">
        <v>42073</v>
      </c>
      <c r="D18" s="380">
        <v>52832.221827</v>
      </c>
      <c r="E18" s="349">
        <f t="shared" si="0"/>
        <v>125.6</v>
      </c>
      <c r="F18" s="349">
        <f t="shared" si="1"/>
        <v>-52.2</v>
      </c>
    </row>
    <row r="19" ht="26" customHeight="1" spans="1:6">
      <c r="A19" s="305" t="s">
        <v>112</v>
      </c>
      <c r="B19" s="378">
        <v>3716</v>
      </c>
      <c r="C19" s="379">
        <v>2580</v>
      </c>
      <c r="D19" s="380">
        <v>1981.339427</v>
      </c>
      <c r="E19" s="349">
        <f t="shared" si="0"/>
        <v>76.8</v>
      </c>
      <c r="F19" s="349">
        <f t="shared" si="1"/>
        <v>-46.7</v>
      </c>
    </row>
    <row r="20" ht="26" customHeight="1" spans="1:6">
      <c r="A20" s="305" t="s">
        <v>113</v>
      </c>
      <c r="B20" s="378">
        <v>235</v>
      </c>
      <c r="C20" s="379">
        <v>335</v>
      </c>
      <c r="D20" s="380">
        <v>412.415956</v>
      </c>
      <c r="E20" s="349">
        <f t="shared" si="0"/>
        <v>123.1</v>
      </c>
      <c r="F20" s="349">
        <f t="shared" si="1"/>
        <v>75.5</v>
      </c>
    </row>
    <row r="21" ht="26" customHeight="1" spans="1:6">
      <c r="A21" s="305" t="s">
        <v>114</v>
      </c>
      <c r="B21" s="378">
        <v>520</v>
      </c>
      <c r="C21" s="379">
        <v>830</v>
      </c>
      <c r="D21" s="380">
        <v>880</v>
      </c>
      <c r="E21" s="349">
        <f t="shared" si="0"/>
        <v>106</v>
      </c>
      <c r="F21" s="349">
        <f t="shared" si="1"/>
        <v>69.2</v>
      </c>
    </row>
    <row r="22" ht="26" customHeight="1" spans="1:6">
      <c r="A22" s="305" t="s">
        <v>115</v>
      </c>
      <c r="B22" s="378">
        <v>13828</v>
      </c>
      <c r="C22" s="379">
        <v>15447</v>
      </c>
      <c r="D22" s="380">
        <v>14337.954326</v>
      </c>
      <c r="E22" s="349">
        <f t="shared" si="0"/>
        <v>92.8</v>
      </c>
      <c r="F22" s="349">
        <f t="shared" si="1"/>
        <v>3.7</v>
      </c>
    </row>
    <row r="23" ht="26" customHeight="1" spans="1:6">
      <c r="A23" s="305" t="s">
        <v>116</v>
      </c>
      <c r="B23" s="378">
        <v>4095</v>
      </c>
      <c r="C23" s="379">
        <v>13944</v>
      </c>
      <c r="D23" s="380">
        <v>9926.91447</v>
      </c>
      <c r="E23" s="349">
        <f t="shared" si="0"/>
        <v>71.2</v>
      </c>
      <c r="F23" s="349">
        <f t="shared" si="1"/>
        <v>142.4</v>
      </c>
    </row>
    <row r="24" ht="26" customHeight="1" spans="1:6">
      <c r="A24" s="305" t="s">
        <v>117</v>
      </c>
      <c r="B24" s="378">
        <v>2491</v>
      </c>
      <c r="C24" s="379">
        <v>2035</v>
      </c>
      <c r="D24" s="380">
        <v>1962.378</v>
      </c>
      <c r="E24" s="349">
        <f t="shared" si="0"/>
        <v>96.4</v>
      </c>
      <c r="F24" s="349">
        <f t="shared" si="1"/>
        <v>-21.2</v>
      </c>
    </row>
    <row r="25" ht="26" customHeight="1" spans="1:6">
      <c r="A25" s="305" t="s">
        <v>118</v>
      </c>
      <c r="B25" s="378">
        <v>4767</v>
      </c>
      <c r="C25" s="379">
        <v>7532</v>
      </c>
      <c r="D25" s="380">
        <v>6659.693328</v>
      </c>
      <c r="E25" s="349">
        <f t="shared" si="0"/>
        <v>88.4</v>
      </c>
      <c r="F25" s="349">
        <f t="shared" si="1"/>
        <v>39.7</v>
      </c>
    </row>
    <row r="26" ht="26" customHeight="1" spans="1:6">
      <c r="A26" s="305" t="s">
        <v>119</v>
      </c>
      <c r="B26" s="378">
        <v>3215</v>
      </c>
      <c r="C26" s="379">
        <v>1990</v>
      </c>
      <c r="D26" s="380">
        <v>878</v>
      </c>
      <c r="E26" s="349">
        <f t="shared" si="0"/>
        <v>44.1</v>
      </c>
      <c r="F26" s="349">
        <f t="shared" si="1"/>
        <v>-72.7</v>
      </c>
    </row>
    <row r="27" ht="26" customHeight="1" spans="1:6">
      <c r="A27" s="305" t="s">
        <v>120</v>
      </c>
      <c r="B27" s="378">
        <v>16439</v>
      </c>
      <c r="C27" s="379">
        <v>19126</v>
      </c>
      <c r="D27" s="380">
        <v>18156.256876</v>
      </c>
      <c r="E27" s="349">
        <f t="shared" si="0"/>
        <v>94.9</v>
      </c>
      <c r="F27" s="349">
        <f t="shared" si="1"/>
        <v>10.4</v>
      </c>
    </row>
    <row r="28" ht="26" customHeight="1" spans="1:6">
      <c r="A28" s="305" t="s">
        <v>121</v>
      </c>
      <c r="B28" s="378">
        <v>100</v>
      </c>
      <c r="C28" s="379">
        <v>93</v>
      </c>
      <c r="D28" s="380">
        <v>90.290032</v>
      </c>
      <c r="E28" s="349">
        <f t="shared" si="0"/>
        <v>97.1</v>
      </c>
      <c r="F28" s="349">
        <f t="shared" si="1"/>
        <v>-9.7</v>
      </c>
    </row>
  </sheetData>
  <mergeCells count="1">
    <mergeCell ref="A2:F2"/>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F23"/>
  <sheetViews>
    <sheetView view="pageBreakPreview" zoomScaleNormal="100" workbookViewId="0">
      <selection activeCell="G7" sqref="G7"/>
    </sheetView>
  </sheetViews>
  <sheetFormatPr defaultColWidth="9" defaultRowHeight="14.25" outlineLevelCol="5"/>
  <cols>
    <col min="1" max="1" width="25.625" customWidth="1"/>
    <col min="2" max="2" width="17.625" customWidth="1"/>
    <col min="3" max="3" width="17.625" style="335" customWidth="1"/>
    <col min="4" max="4" width="25.625" customWidth="1"/>
    <col min="5" max="5" width="17.625" customWidth="1"/>
    <col min="6" max="6" width="17.625" style="335" customWidth="1"/>
  </cols>
  <sheetData>
    <row r="1" s="1" customFormat="1" ht="20.1" customHeight="1" spans="1:6">
      <c r="A1" s="1" t="s">
        <v>10</v>
      </c>
      <c r="C1" s="337"/>
      <c r="F1" s="337"/>
    </row>
    <row r="2" s="2" customFormat="1" ht="45" customHeight="1" spans="1:6">
      <c r="A2" s="47" t="s">
        <v>122</v>
      </c>
      <c r="B2" s="47"/>
      <c r="C2" s="338"/>
      <c r="D2" s="47"/>
      <c r="E2" s="47"/>
      <c r="F2" s="338"/>
    </row>
    <row r="3" s="3" customFormat="1" ht="20.1" customHeight="1" spans="3:6">
      <c r="C3" s="339"/>
      <c r="F3" s="360" t="s">
        <v>45</v>
      </c>
    </row>
    <row r="4" s="359" customFormat="1" ht="20.1" customHeight="1" spans="1:6">
      <c r="A4" s="260" t="s">
        <v>123</v>
      </c>
      <c r="B4" s="260"/>
      <c r="C4" s="309"/>
      <c r="D4" s="361" t="s">
        <v>124</v>
      </c>
      <c r="E4" s="260"/>
      <c r="F4" s="308"/>
    </row>
    <row r="5" s="4" customFormat="1" ht="20.1" customHeight="1" spans="1:6">
      <c r="A5" s="260" t="s">
        <v>125</v>
      </c>
      <c r="B5" s="260" t="s">
        <v>126</v>
      </c>
      <c r="C5" s="309" t="s">
        <v>127</v>
      </c>
      <c r="D5" s="361" t="s">
        <v>125</v>
      </c>
      <c r="E5" s="260" t="s">
        <v>126</v>
      </c>
      <c r="F5" s="308" t="s">
        <v>127</v>
      </c>
    </row>
    <row r="6" ht="20.1" customHeight="1" spans="1:6">
      <c r="A6" s="362" t="s">
        <v>128</v>
      </c>
      <c r="B6" s="330">
        <f>'表1-2'!C5</f>
        <v>475580</v>
      </c>
      <c r="C6" s="312">
        <f>'表1-2'!D5</f>
        <v>475822</v>
      </c>
      <c r="D6" s="363" t="s">
        <v>129</v>
      </c>
      <c r="E6" s="330">
        <f>表2!C5</f>
        <v>810660</v>
      </c>
      <c r="F6" s="312">
        <f>表2!D5</f>
        <v>779753.061643</v>
      </c>
    </row>
    <row r="7" ht="20.1" customHeight="1" spans="1:6">
      <c r="A7" s="364" t="s">
        <v>130</v>
      </c>
      <c r="B7" s="365">
        <f>SUM(B8,B12,B13,B16,B20)</f>
        <v>535950</v>
      </c>
      <c r="C7" s="313">
        <f>C8+C12+C13+C16+C20</f>
        <v>481695</v>
      </c>
      <c r="D7" s="366" t="s">
        <v>131</v>
      </c>
      <c r="E7" s="365">
        <f>E8+E12+E13+E14+E15</f>
        <v>200870</v>
      </c>
      <c r="F7" s="367">
        <f>F8+F12+F13+F14+F15</f>
        <v>177764</v>
      </c>
    </row>
    <row r="8" ht="20.1" customHeight="1" spans="1:6">
      <c r="A8" s="284" t="s">
        <v>132</v>
      </c>
      <c r="B8" s="365">
        <f>SUM(B9:B11)</f>
        <v>299607</v>
      </c>
      <c r="C8" s="311">
        <f>SUM(C9:C11)</f>
        <v>311159</v>
      </c>
      <c r="D8" s="368" t="s">
        <v>133</v>
      </c>
      <c r="E8" s="365">
        <f>E9+E10+E11</f>
        <v>84951</v>
      </c>
      <c r="F8" s="312">
        <f>SUM(F9:F11)</f>
        <v>84406</v>
      </c>
    </row>
    <row r="9" ht="20.1" customHeight="1" spans="1:6">
      <c r="A9" s="284" t="s">
        <v>134</v>
      </c>
      <c r="B9" s="365">
        <v>2685</v>
      </c>
      <c r="C9" s="311">
        <v>2685</v>
      </c>
      <c r="D9" s="369" t="s">
        <v>135</v>
      </c>
      <c r="E9" s="365">
        <v>1789</v>
      </c>
      <c r="F9" s="312">
        <v>1789</v>
      </c>
    </row>
    <row r="10" ht="20.1" customHeight="1" spans="1:6">
      <c r="A10" s="284" t="s">
        <v>136</v>
      </c>
      <c r="B10" s="365">
        <f>254547+13057</f>
        <v>267604</v>
      </c>
      <c r="C10" s="311">
        <v>277575</v>
      </c>
      <c r="D10" s="369" t="s">
        <v>137</v>
      </c>
      <c r="E10" s="365">
        <v>73601</v>
      </c>
      <c r="F10" s="312">
        <f>ROUND('表1-2'!D6*0.209,)</f>
        <v>72554</v>
      </c>
    </row>
    <row r="11" ht="20.1" customHeight="1" spans="1:6">
      <c r="A11" s="284" t="s">
        <v>138</v>
      </c>
      <c r="B11" s="365">
        <v>29318</v>
      </c>
      <c r="C11" s="311">
        <v>30899</v>
      </c>
      <c r="D11" s="369" t="s">
        <v>139</v>
      </c>
      <c r="E11" s="365">
        <v>9561</v>
      </c>
      <c r="F11" s="312">
        <f>9955+660-552</f>
        <v>10063</v>
      </c>
    </row>
    <row r="12" ht="20.1" customHeight="1" spans="1:6">
      <c r="A12" s="284" t="s">
        <v>140</v>
      </c>
      <c r="B12" s="365">
        <f>46991+40367</f>
        <v>87358</v>
      </c>
      <c r="C12" s="365">
        <f>46991+40367</f>
        <v>87358</v>
      </c>
      <c r="D12" s="368" t="s">
        <v>141</v>
      </c>
      <c r="E12" s="365">
        <f>46991+14235+169</f>
        <v>61395</v>
      </c>
      <c r="F12" s="365">
        <f>46991+14235+169</f>
        <v>61395</v>
      </c>
    </row>
    <row r="13" ht="20.1" customHeight="1" spans="1:6">
      <c r="A13" s="284" t="s">
        <v>142</v>
      </c>
      <c r="B13" s="365">
        <f>B14</f>
        <v>45262</v>
      </c>
      <c r="C13" s="365">
        <f>C14</f>
        <v>45262</v>
      </c>
      <c r="D13" s="368" t="s">
        <v>143</v>
      </c>
      <c r="E13" s="365">
        <v>5000</v>
      </c>
      <c r="F13" s="312">
        <f>5000+522-108-394+235</f>
        <v>5255</v>
      </c>
    </row>
    <row r="14" ht="20.1" customHeight="1" spans="1:6">
      <c r="A14" s="284" t="s">
        <v>144</v>
      </c>
      <c r="B14" s="365">
        <v>45262</v>
      </c>
      <c r="C14" s="365">
        <v>45262</v>
      </c>
      <c r="D14" s="368" t="s">
        <v>145</v>
      </c>
      <c r="E14" s="365"/>
      <c r="F14" s="312"/>
    </row>
    <row r="15" ht="20.1" customHeight="1" spans="1:6">
      <c r="A15" s="284" t="s">
        <v>146</v>
      </c>
      <c r="B15" s="365"/>
      <c r="C15" s="311"/>
      <c r="D15" s="368" t="s">
        <v>147</v>
      </c>
      <c r="E15" s="365">
        <f>E16</f>
        <v>49524</v>
      </c>
      <c r="F15" s="365">
        <f>F16</f>
        <v>26708</v>
      </c>
    </row>
    <row r="16" ht="20.1" customHeight="1" spans="1:6">
      <c r="A16" s="284" t="s">
        <v>148</v>
      </c>
      <c r="B16" s="365">
        <f>SUM(B17:B19)</f>
        <v>83723</v>
      </c>
      <c r="C16" s="311">
        <f>SUM(C17:C19)</f>
        <v>17916</v>
      </c>
      <c r="D16" s="368" t="s">
        <v>149</v>
      </c>
      <c r="E16" s="365">
        <f>48407+1117</f>
        <v>49524</v>
      </c>
      <c r="F16" s="312">
        <v>26708</v>
      </c>
    </row>
    <row r="17" ht="20.1" customHeight="1" spans="1:6">
      <c r="A17" s="284" t="s">
        <v>150</v>
      </c>
      <c r="B17" s="365">
        <v>82111</v>
      </c>
      <c r="C17" s="311">
        <f>[3]表3!$G$23</f>
        <v>16384</v>
      </c>
      <c r="D17" s="368" t="s">
        <v>151</v>
      </c>
      <c r="E17" s="330"/>
      <c r="F17" s="312"/>
    </row>
    <row r="18" ht="20.1" customHeight="1" spans="1:6">
      <c r="A18" s="284" t="s">
        <v>152</v>
      </c>
      <c r="B18" s="365">
        <v>1612</v>
      </c>
      <c r="C18" s="311">
        <f>[2]表3!$G$13</f>
        <v>1532</v>
      </c>
      <c r="D18" s="368"/>
      <c r="E18" s="330"/>
      <c r="F18" s="312"/>
    </row>
    <row r="19" ht="20.1" customHeight="1" spans="1:6">
      <c r="A19" s="284" t="s">
        <v>153</v>
      </c>
      <c r="B19" s="365"/>
      <c r="C19" s="311"/>
      <c r="D19" s="368"/>
      <c r="E19" s="330"/>
      <c r="F19" s="312"/>
    </row>
    <row r="20" ht="20.1" customHeight="1" spans="1:6">
      <c r="A20" s="284" t="s">
        <v>154</v>
      </c>
      <c r="B20" s="365">
        <v>20000</v>
      </c>
      <c r="C20" s="311">
        <v>20000</v>
      </c>
      <c r="D20" s="368"/>
      <c r="E20" s="330"/>
      <c r="F20" s="312"/>
    </row>
    <row r="21" ht="20.1" customHeight="1" spans="1:6">
      <c r="A21" s="284"/>
      <c r="B21" s="330"/>
      <c r="C21" s="311"/>
      <c r="D21" s="368"/>
      <c r="E21" s="330"/>
      <c r="F21" s="312"/>
    </row>
    <row r="22" s="6" customFormat="1" ht="20.1" customHeight="1" spans="1:6">
      <c r="A22" s="370" t="s">
        <v>155</v>
      </c>
      <c r="B22" s="371">
        <f>B6+B7</f>
        <v>1011530</v>
      </c>
      <c r="C22" s="317">
        <f>C6+C7</f>
        <v>957517</v>
      </c>
      <c r="D22" s="372" t="s">
        <v>156</v>
      </c>
      <c r="E22" s="371">
        <f>E6+E7</f>
        <v>1011530</v>
      </c>
      <c r="F22" s="318">
        <f>F6+F7</f>
        <v>957517.061643</v>
      </c>
    </row>
    <row r="23" spans="5:6">
      <c r="E23">
        <f>E22-B22</f>
        <v>0</v>
      </c>
      <c r="F23" s="373">
        <f>F22-C22</f>
        <v>0.0616429999936372</v>
      </c>
    </row>
  </sheetData>
  <mergeCells count="3">
    <mergeCell ref="A2:F2"/>
    <mergeCell ref="A4:C4"/>
    <mergeCell ref="D4:F4"/>
  </mergeCells>
  <printOptions horizontalCentered="1"/>
  <pageMargins left="0.786805555555556" right="0.786805555555556" top="0.984027777777778" bottom="0.786805555555556" header="0.313888888888889" footer="0.313888888888889"/>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F34"/>
  <sheetViews>
    <sheetView view="pageBreakPreview" zoomScaleNormal="100" topLeftCell="A15" workbookViewId="0">
      <selection activeCell="A2" sqref="A2:F2"/>
    </sheetView>
  </sheetViews>
  <sheetFormatPr defaultColWidth="9" defaultRowHeight="14.25" outlineLevelCol="5"/>
  <cols>
    <col min="1" max="1" width="27.625" customWidth="1"/>
    <col min="2" max="2" width="10.625" customWidth="1"/>
    <col min="3" max="3" width="10.625" style="335" customWidth="1"/>
    <col min="4" max="6" width="10.625" customWidth="1"/>
    <col min="7" max="7" width="14.125"/>
  </cols>
  <sheetData>
    <row r="1" s="1" customFormat="1" ht="20.1" customHeight="1" spans="1:3">
      <c r="A1" s="1" t="s">
        <v>12</v>
      </c>
      <c r="C1" s="337"/>
    </row>
    <row r="2" s="2" customFormat="1" ht="45" customHeight="1" spans="1:6">
      <c r="A2" s="47" t="s">
        <v>157</v>
      </c>
      <c r="B2" s="47"/>
      <c r="C2" s="338"/>
      <c r="D2" s="47"/>
      <c r="E2" s="47"/>
      <c r="F2" s="47"/>
    </row>
    <row r="3" s="3" customFormat="1" ht="20.1" customHeight="1" spans="3:6">
      <c r="C3" s="339"/>
      <c r="F3" s="32" t="s">
        <v>45</v>
      </c>
    </row>
    <row r="4" s="4" customFormat="1" ht="39.95" customHeight="1" spans="1:6">
      <c r="A4" s="19" t="s">
        <v>46</v>
      </c>
      <c r="B4" s="20" t="s">
        <v>158</v>
      </c>
      <c r="C4" s="342" t="s">
        <v>49</v>
      </c>
      <c r="D4" s="20" t="s">
        <v>159</v>
      </c>
      <c r="E4" s="20" t="s">
        <v>160</v>
      </c>
      <c r="F4" s="20" t="s">
        <v>161</v>
      </c>
    </row>
    <row r="5" s="333" customFormat="1" ht="21" customHeight="1" spans="1:6">
      <c r="A5" s="48" t="s">
        <v>52</v>
      </c>
      <c r="B5" s="344">
        <f>B6+B21</f>
        <v>803595</v>
      </c>
      <c r="C5" s="345">
        <f>C6+C21</f>
        <v>807160</v>
      </c>
      <c r="D5" s="344">
        <f>D6+D21</f>
        <v>868000</v>
      </c>
      <c r="E5" s="346">
        <f>ROUND((D5/B5-1)*100,1)</f>
        <v>8</v>
      </c>
      <c r="F5" s="346">
        <f>ROUND((D5/C5-1)*100,1)</f>
        <v>7.5</v>
      </c>
    </row>
    <row r="6" s="334" customFormat="1" ht="21" customHeight="1" spans="1:6">
      <c r="A6" s="57" t="s">
        <v>53</v>
      </c>
      <c r="B6" s="347">
        <f>'表1-1'!C6</f>
        <v>680175</v>
      </c>
      <c r="C6" s="348">
        <f>SUM(C7:C20)</f>
        <v>678486</v>
      </c>
      <c r="D6" s="347">
        <f>SUM(D7:D20)</f>
        <v>738200</v>
      </c>
      <c r="E6" s="349">
        <f t="shared" ref="E6:E34" si="0">ROUND((D6/B6-1)*100,1)</f>
        <v>8.5</v>
      </c>
      <c r="F6" s="349">
        <f t="shared" ref="F6:F34" si="1">ROUND((D6/C6-1)*100,1)</f>
        <v>8.8</v>
      </c>
    </row>
    <row r="7" s="334" customFormat="1" ht="21" customHeight="1" spans="1:6">
      <c r="A7" s="350" t="s">
        <v>54</v>
      </c>
      <c r="B7" s="347">
        <f>'表1-1'!C7</f>
        <v>285000</v>
      </c>
      <c r="C7" s="348">
        <f>'表1-1'!D7</f>
        <v>289634</v>
      </c>
      <c r="D7" s="347">
        <f>'表4-2'!D7*2</f>
        <v>329982</v>
      </c>
      <c r="E7" s="349">
        <f t="shared" si="0"/>
        <v>15.8</v>
      </c>
      <c r="F7" s="349">
        <f t="shared" si="1"/>
        <v>13.9</v>
      </c>
    </row>
    <row r="8" s="334" customFormat="1" ht="21" customHeight="1" spans="1:6">
      <c r="A8" s="350" t="s">
        <v>55</v>
      </c>
      <c r="B8" s="347">
        <f>'表1-1'!C8</f>
        <v>70000</v>
      </c>
      <c r="C8" s="348">
        <f>'表1-1'!D8</f>
        <v>73508</v>
      </c>
      <c r="D8" s="347">
        <f>74250+5-10000+629</f>
        <v>64884</v>
      </c>
      <c r="E8" s="349">
        <f t="shared" si="0"/>
        <v>-7.3</v>
      </c>
      <c r="F8" s="349">
        <f t="shared" si="1"/>
        <v>-11.7</v>
      </c>
    </row>
    <row r="9" s="334" customFormat="1" ht="21" customHeight="1" spans="1:6">
      <c r="A9" s="350" t="s">
        <v>56</v>
      </c>
      <c r="B9" s="347">
        <f>'表1-1'!C9</f>
        <v>173000</v>
      </c>
      <c r="C9" s="348">
        <f>'表1-1'!D9</f>
        <v>166430</v>
      </c>
      <c r="D9" s="347">
        <f>'表4-2'!D8/0.4</f>
        <v>187650</v>
      </c>
      <c r="E9" s="349">
        <f t="shared" si="0"/>
        <v>8.5</v>
      </c>
      <c r="F9" s="349">
        <f t="shared" si="1"/>
        <v>12.8</v>
      </c>
    </row>
    <row r="10" s="334" customFormat="1" ht="21" customHeight="1" spans="1:6">
      <c r="A10" s="350" t="s">
        <v>57</v>
      </c>
      <c r="B10" s="347">
        <f>'表1-1'!C10</f>
        <v>19525</v>
      </c>
      <c r="C10" s="348">
        <f>'表1-1'!D10</f>
        <v>21925</v>
      </c>
      <c r="D10" s="347">
        <f>'表4-2'!D9/0.4</f>
        <v>23725</v>
      </c>
      <c r="E10" s="349">
        <f t="shared" si="0"/>
        <v>21.5</v>
      </c>
      <c r="F10" s="349">
        <f t="shared" si="1"/>
        <v>8.2</v>
      </c>
    </row>
    <row r="11" s="334" customFormat="1" ht="21" customHeight="1" spans="1:6">
      <c r="A11" s="350" t="s">
        <v>58</v>
      </c>
      <c r="B11" s="347">
        <f>'表1-1'!C11</f>
        <v>17000</v>
      </c>
      <c r="C11" s="348">
        <f>'表1-1'!D11</f>
        <v>16664</v>
      </c>
      <c r="D11" s="347">
        <f>'表4-2'!D10</f>
        <v>18210</v>
      </c>
      <c r="E11" s="349">
        <f t="shared" si="0"/>
        <v>7.1</v>
      </c>
      <c r="F11" s="349">
        <f t="shared" si="1"/>
        <v>9.3</v>
      </c>
    </row>
    <row r="12" s="334" customFormat="1" ht="21" customHeight="1" spans="1:6">
      <c r="A12" s="350" t="s">
        <v>59</v>
      </c>
      <c r="B12" s="347">
        <f>'表1-1'!C12</f>
        <v>21000</v>
      </c>
      <c r="C12" s="348">
        <f>'表1-1'!D12</f>
        <v>22219</v>
      </c>
      <c r="D12" s="347">
        <f>'表4-2'!D11</f>
        <v>24190</v>
      </c>
      <c r="E12" s="349">
        <f t="shared" si="0"/>
        <v>15.2</v>
      </c>
      <c r="F12" s="349">
        <f t="shared" si="1"/>
        <v>8.9</v>
      </c>
    </row>
    <row r="13" s="334" customFormat="1" ht="21" customHeight="1" spans="1:6">
      <c r="A13" s="350" t="s">
        <v>60</v>
      </c>
      <c r="B13" s="347">
        <f>'表1-1'!C13</f>
        <v>11500</v>
      </c>
      <c r="C13" s="348">
        <f>'表1-1'!D13</f>
        <v>10173</v>
      </c>
      <c r="D13" s="347">
        <f>'表4-2'!D12</f>
        <v>11120</v>
      </c>
      <c r="E13" s="349">
        <f t="shared" si="0"/>
        <v>-3.3</v>
      </c>
      <c r="F13" s="349">
        <f t="shared" si="1"/>
        <v>9.3</v>
      </c>
    </row>
    <row r="14" s="334" customFormat="1" ht="21" customHeight="1" spans="1:6">
      <c r="A14" s="350" t="s">
        <v>61</v>
      </c>
      <c r="B14" s="347">
        <f>'表1-1'!C14</f>
        <v>6700</v>
      </c>
      <c r="C14" s="348">
        <f>'表1-1'!D14</f>
        <v>6296</v>
      </c>
      <c r="D14" s="347">
        <f>'表4-2'!D13</f>
        <v>6970</v>
      </c>
      <c r="E14" s="349">
        <f t="shared" si="0"/>
        <v>4</v>
      </c>
      <c r="F14" s="349">
        <f t="shared" si="1"/>
        <v>10.7</v>
      </c>
    </row>
    <row r="15" s="334" customFormat="1" ht="21" customHeight="1" spans="1:6">
      <c r="A15" s="350" t="s">
        <v>62</v>
      </c>
      <c r="B15" s="347">
        <f>'表1-1'!C15</f>
        <v>11000</v>
      </c>
      <c r="C15" s="348">
        <f>'表1-1'!D15</f>
        <v>9294</v>
      </c>
      <c r="D15" s="347">
        <f>'表4-2'!D14</f>
        <v>10390</v>
      </c>
      <c r="E15" s="349">
        <f t="shared" si="0"/>
        <v>-5.5</v>
      </c>
      <c r="F15" s="349">
        <f t="shared" si="1"/>
        <v>11.8</v>
      </c>
    </row>
    <row r="16" s="334" customFormat="1" ht="21" customHeight="1" spans="1:6">
      <c r="A16" s="350" t="s">
        <v>63</v>
      </c>
      <c r="B16" s="347">
        <f>'表1-1'!C16</f>
        <v>5500</v>
      </c>
      <c r="C16" s="348">
        <f>'表1-1'!D16</f>
        <v>3784</v>
      </c>
      <c r="D16" s="347">
        <f>'表4-2'!D15</f>
        <v>4709</v>
      </c>
      <c r="E16" s="349">
        <f t="shared" si="0"/>
        <v>-14.4</v>
      </c>
      <c r="F16" s="349">
        <f t="shared" si="1"/>
        <v>24.4</v>
      </c>
    </row>
    <row r="17" s="334" customFormat="1" ht="21" customHeight="1" spans="1:6">
      <c r="A17" s="350" t="s">
        <v>64</v>
      </c>
      <c r="B17" s="347">
        <f>'表1-1'!C17</f>
        <v>3080</v>
      </c>
      <c r="C17" s="348">
        <f>'表1-1'!D17</f>
        <v>2721</v>
      </c>
      <c r="D17" s="347">
        <f>'表4-2'!D16</f>
        <v>2930</v>
      </c>
      <c r="E17" s="349">
        <f t="shared" si="0"/>
        <v>-4.9</v>
      </c>
      <c r="F17" s="349">
        <f t="shared" si="1"/>
        <v>7.7</v>
      </c>
    </row>
    <row r="18" s="334" customFormat="1" ht="21" customHeight="1" spans="1:6">
      <c r="A18" s="350" t="s">
        <v>65</v>
      </c>
      <c r="B18" s="347">
        <f>'表1-1'!C18</f>
        <v>33000</v>
      </c>
      <c r="C18" s="348">
        <f>'表1-1'!D18</f>
        <v>34563</v>
      </c>
      <c r="D18" s="347">
        <f>'表4-2'!D17</f>
        <v>30470</v>
      </c>
      <c r="E18" s="349">
        <f t="shared" si="0"/>
        <v>-7.7</v>
      </c>
      <c r="F18" s="349">
        <f t="shared" si="1"/>
        <v>-11.8</v>
      </c>
    </row>
    <row r="19" s="334" customFormat="1" ht="21" customHeight="1" spans="1:6">
      <c r="A19" s="350" t="s">
        <v>66</v>
      </c>
      <c r="B19" s="347">
        <f>'表1-1'!C19</f>
        <v>22870</v>
      </c>
      <c r="C19" s="348">
        <f>'表1-1'!D19</f>
        <v>20557</v>
      </c>
      <c r="D19" s="347">
        <f>'表4-2'!D18</f>
        <v>22100</v>
      </c>
      <c r="E19" s="349">
        <f t="shared" si="0"/>
        <v>-3.4</v>
      </c>
      <c r="F19" s="349">
        <f t="shared" si="1"/>
        <v>7.5</v>
      </c>
    </row>
    <row r="20" s="334" customFormat="1" ht="21" customHeight="1" spans="1:6">
      <c r="A20" s="350" t="s">
        <v>67</v>
      </c>
      <c r="B20" s="347">
        <f>'表1-1'!C20</f>
        <v>1000</v>
      </c>
      <c r="C20" s="348">
        <f>'表1-1'!D20</f>
        <v>718</v>
      </c>
      <c r="D20" s="347">
        <f>'表4-2'!D19</f>
        <v>870</v>
      </c>
      <c r="E20" s="349">
        <f t="shared" si="0"/>
        <v>-13</v>
      </c>
      <c r="F20" s="349">
        <f t="shared" si="1"/>
        <v>21.2</v>
      </c>
    </row>
    <row r="21" s="334" customFormat="1" ht="21" customHeight="1" spans="1:6">
      <c r="A21" s="57" t="s">
        <v>68</v>
      </c>
      <c r="B21" s="347">
        <f>'表1-1'!C21</f>
        <v>123420</v>
      </c>
      <c r="C21" s="348">
        <f>'表1-1'!D21</f>
        <v>128674</v>
      </c>
      <c r="D21" s="347">
        <f>'表4-2'!D20</f>
        <v>129800</v>
      </c>
      <c r="E21" s="349">
        <f t="shared" si="0"/>
        <v>5.2</v>
      </c>
      <c r="F21" s="349">
        <f t="shared" si="1"/>
        <v>0.9</v>
      </c>
    </row>
    <row r="22" s="334" customFormat="1" ht="21" customHeight="1" spans="1:6">
      <c r="A22" s="350" t="s">
        <v>69</v>
      </c>
      <c r="B22" s="347">
        <f>'表1-1'!C22</f>
        <v>16750</v>
      </c>
      <c r="C22" s="348">
        <f>'表1-1'!D22</f>
        <v>16645</v>
      </c>
      <c r="D22" s="347">
        <f>'表4-2'!D21</f>
        <v>18141</v>
      </c>
      <c r="E22" s="349">
        <f t="shared" si="0"/>
        <v>8.3</v>
      </c>
      <c r="F22" s="349">
        <f t="shared" si="1"/>
        <v>9</v>
      </c>
    </row>
    <row r="23" s="334" customFormat="1" ht="21" customHeight="1" spans="1:6">
      <c r="A23" s="352" t="s">
        <v>70</v>
      </c>
      <c r="B23" s="347">
        <f>'表1-1'!C23</f>
        <v>10200</v>
      </c>
      <c r="C23" s="348">
        <f>'表1-1'!D23</f>
        <v>10455</v>
      </c>
      <c r="D23" s="347">
        <f>'表4-2'!D22</f>
        <v>11200</v>
      </c>
      <c r="E23" s="349">
        <f t="shared" si="0"/>
        <v>9.8</v>
      </c>
      <c r="F23" s="349">
        <f t="shared" si="1"/>
        <v>7.1</v>
      </c>
    </row>
    <row r="24" s="334" customFormat="1" ht="21" customHeight="1" spans="1:6">
      <c r="A24" s="352" t="s">
        <v>71</v>
      </c>
      <c r="B24" s="347">
        <f>'表1-1'!C24</f>
        <v>5250</v>
      </c>
      <c r="C24" s="348">
        <f>'表1-1'!D24</f>
        <v>4918</v>
      </c>
      <c r="D24" s="347">
        <f>'表4-2'!D23</f>
        <v>5421</v>
      </c>
      <c r="E24" s="349">
        <f t="shared" si="0"/>
        <v>3.3</v>
      </c>
      <c r="F24" s="349">
        <f t="shared" si="1"/>
        <v>10.2</v>
      </c>
    </row>
    <row r="25" s="334" customFormat="1" ht="21" customHeight="1" spans="1:6">
      <c r="A25" s="352" t="s">
        <v>72</v>
      </c>
      <c r="B25" s="347">
        <f>'表1-1'!C25</f>
        <v>1000</v>
      </c>
      <c r="C25" s="348">
        <f>'表1-1'!D25</f>
        <v>1221</v>
      </c>
      <c r="D25" s="347">
        <f>'表4-2'!D24</f>
        <v>1220</v>
      </c>
      <c r="E25" s="349">
        <f t="shared" si="0"/>
        <v>22</v>
      </c>
      <c r="F25" s="349">
        <f t="shared" si="1"/>
        <v>-0.1</v>
      </c>
    </row>
    <row r="26" s="334" customFormat="1" ht="21" customHeight="1" spans="1:6">
      <c r="A26" s="352" t="s">
        <v>73</v>
      </c>
      <c r="B26" s="347"/>
      <c r="C26" s="348"/>
      <c r="D26" s="347"/>
      <c r="E26" s="347"/>
      <c r="F26" s="347"/>
    </row>
    <row r="27" s="334" customFormat="1" ht="21" customHeight="1" spans="1:6">
      <c r="A27" s="352" t="s">
        <v>74</v>
      </c>
      <c r="B27" s="347"/>
      <c r="C27" s="348"/>
      <c r="D27" s="347"/>
      <c r="E27" s="349"/>
      <c r="F27" s="349"/>
    </row>
    <row r="28" s="334" customFormat="1" ht="21" customHeight="1" spans="1:6">
      <c r="A28" s="352" t="s">
        <v>75</v>
      </c>
      <c r="B28" s="347">
        <f>'表1-1'!C28</f>
        <v>300</v>
      </c>
      <c r="C28" s="348">
        <f>'表1-1'!D28</f>
        <v>51</v>
      </c>
      <c r="D28" s="347">
        <f>'表4-2'!D27</f>
        <v>300</v>
      </c>
      <c r="E28" s="349"/>
      <c r="F28" s="349">
        <f t="shared" si="1"/>
        <v>488.2</v>
      </c>
    </row>
    <row r="29" s="334" customFormat="1" ht="21" customHeight="1" spans="1:6">
      <c r="A29" s="350" t="s">
        <v>76</v>
      </c>
      <c r="B29" s="347">
        <f>'表1-1'!C29</f>
        <v>7200</v>
      </c>
      <c r="C29" s="348">
        <f>'表1-1'!D29</f>
        <v>8150</v>
      </c>
      <c r="D29" s="347">
        <f>'表4-2'!D28</f>
        <v>7220</v>
      </c>
      <c r="E29" s="349">
        <f t="shared" si="0"/>
        <v>0.3</v>
      </c>
      <c r="F29" s="349">
        <f t="shared" si="1"/>
        <v>-11.4</v>
      </c>
    </row>
    <row r="30" s="334" customFormat="1" ht="21" customHeight="1" spans="1:6">
      <c r="A30" s="350" t="s">
        <v>77</v>
      </c>
      <c r="B30" s="347">
        <f>'表1-1'!C30</f>
        <v>26400</v>
      </c>
      <c r="C30" s="348">
        <f>'表1-1'!D30</f>
        <v>28101</v>
      </c>
      <c r="D30" s="347">
        <f>'表4-2'!D29</f>
        <v>26400</v>
      </c>
      <c r="E30" s="349">
        <f t="shared" si="0"/>
        <v>0</v>
      </c>
      <c r="F30" s="349">
        <f t="shared" si="1"/>
        <v>-6.1</v>
      </c>
    </row>
    <row r="31" s="334" customFormat="1" ht="21" customHeight="1" spans="1:6">
      <c r="A31" s="350" t="s">
        <v>78</v>
      </c>
      <c r="B31" s="347"/>
      <c r="C31" s="348"/>
      <c r="D31" s="347"/>
      <c r="E31" s="349"/>
      <c r="F31" s="349"/>
    </row>
    <row r="32" s="334" customFormat="1" ht="21" customHeight="1" spans="1:6">
      <c r="A32" s="350" t="s">
        <v>79</v>
      </c>
      <c r="B32" s="347">
        <f>'表1-1'!C32</f>
        <v>70240</v>
      </c>
      <c r="C32" s="348">
        <f>'表1-1'!D32</f>
        <v>72765</v>
      </c>
      <c r="D32" s="347">
        <f>'表4-2'!D31</f>
        <v>75209</v>
      </c>
      <c r="E32" s="349">
        <f t="shared" si="0"/>
        <v>7.1</v>
      </c>
      <c r="F32" s="349">
        <f t="shared" si="1"/>
        <v>3.4</v>
      </c>
    </row>
    <row r="33" s="334" customFormat="1" ht="21" customHeight="1" spans="1:6">
      <c r="A33" s="350" t="s">
        <v>80</v>
      </c>
      <c r="B33" s="347">
        <f>'表1-1'!C33</f>
        <v>330</v>
      </c>
      <c r="C33" s="348">
        <f>'表1-1'!D33</f>
        <v>530</v>
      </c>
      <c r="D33" s="347">
        <f>'表4-2'!D32</f>
        <v>330</v>
      </c>
      <c r="E33" s="349">
        <f t="shared" si="0"/>
        <v>0</v>
      </c>
      <c r="F33" s="349">
        <f t="shared" si="1"/>
        <v>-37.7</v>
      </c>
    </row>
    <row r="34" s="334" customFormat="1" ht="21" customHeight="1" spans="1:6">
      <c r="A34" s="350" t="s">
        <v>81</v>
      </c>
      <c r="B34" s="347">
        <f>'表1-1'!C34</f>
        <v>2500</v>
      </c>
      <c r="C34" s="348">
        <f>'表1-1'!D34</f>
        <v>2483</v>
      </c>
      <c r="D34" s="347">
        <f>'表4-2'!D33</f>
        <v>2500</v>
      </c>
      <c r="E34" s="349">
        <f t="shared" si="0"/>
        <v>0</v>
      </c>
      <c r="F34" s="349">
        <f t="shared" si="1"/>
        <v>0.7</v>
      </c>
    </row>
  </sheetData>
  <mergeCells count="1">
    <mergeCell ref="A2:F2"/>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L33"/>
  <sheetViews>
    <sheetView view="pageBreakPreview" zoomScaleNormal="100" topLeftCell="A23" workbookViewId="0">
      <selection activeCell="A2" sqref="A2:F2"/>
    </sheetView>
  </sheetViews>
  <sheetFormatPr defaultColWidth="9" defaultRowHeight="14.25"/>
  <cols>
    <col min="1" max="1" width="27.625" customWidth="1"/>
    <col min="2" max="2" width="10.625" customWidth="1"/>
    <col min="3" max="4" width="10.625" style="335" customWidth="1"/>
    <col min="5" max="6" width="10.625" customWidth="1"/>
    <col min="7" max="7" width="3.625" customWidth="1"/>
    <col min="8" max="8" width="9.875" hidden="1" customWidth="1"/>
    <col min="9" max="9" width="9" hidden="1" customWidth="1"/>
    <col min="10" max="10" width="12.625" style="336" hidden="1" customWidth="1"/>
    <col min="11" max="11" width="9" style="336" hidden="1" customWidth="1"/>
    <col min="12" max="12" width="9" hidden="1" customWidth="1"/>
    <col min="13" max="13" width="12.625"/>
    <col min="14" max="14" width="14.125"/>
  </cols>
  <sheetData>
    <row r="1" s="1" customFormat="1" ht="20.1" customHeight="1" spans="1:11">
      <c r="A1" s="1" t="s">
        <v>14</v>
      </c>
      <c r="C1" s="337"/>
      <c r="D1" s="337"/>
      <c r="J1" s="353"/>
      <c r="K1" s="353"/>
    </row>
    <row r="2" s="2" customFormat="1" ht="45" customHeight="1" spans="1:11">
      <c r="A2" s="47" t="s">
        <v>162</v>
      </c>
      <c r="B2" s="47"/>
      <c r="C2" s="338"/>
      <c r="D2" s="338"/>
      <c r="E2" s="47"/>
      <c r="F2" s="47"/>
      <c r="J2" s="354"/>
      <c r="K2" s="354"/>
    </row>
    <row r="3" s="3" customFormat="1" ht="20.1" customHeight="1" spans="3:11">
      <c r="C3" s="339"/>
      <c r="D3" s="339"/>
      <c r="F3" s="340" t="s">
        <v>45</v>
      </c>
      <c r="G3" s="32"/>
      <c r="H3" s="341">
        <v>1.075</v>
      </c>
      <c r="I3" s="3">
        <v>1</v>
      </c>
      <c r="J3" s="32"/>
      <c r="K3" s="32"/>
    </row>
    <row r="4" s="4" customFormat="1" ht="39.95" customHeight="1" spans="1:11">
      <c r="A4" s="19" t="s">
        <v>46</v>
      </c>
      <c r="B4" s="20" t="s">
        <v>158</v>
      </c>
      <c r="C4" s="342" t="s">
        <v>49</v>
      </c>
      <c r="D4" s="342" t="s">
        <v>159</v>
      </c>
      <c r="E4" s="20" t="s">
        <v>160</v>
      </c>
      <c r="F4" s="20" t="s">
        <v>161</v>
      </c>
      <c r="H4" s="343" t="s">
        <v>163</v>
      </c>
      <c r="I4" s="4" t="s">
        <v>164</v>
      </c>
      <c r="J4" s="355"/>
      <c r="K4" s="355"/>
    </row>
    <row r="5" s="333" customFormat="1" ht="21" customHeight="1" spans="1:11">
      <c r="A5" s="48" t="s">
        <v>83</v>
      </c>
      <c r="B5" s="344">
        <f>'表1-2'!C5</f>
        <v>475580</v>
      </c>
      <c r="C5" s="345">
        <f>'表1-2'!D5</f>
        <v>475822</v>
      </c>
      <c r="D5" s="345">
        <f>D6+D20</f>
        <v>511300</v>
      </c>
      <c r="E5" s="346">
        <f>ROUND((D5/B5-1)*100,1)</f>
        <v>7.5</v>
      </c>
      <c r="F5" s="346">
        <f>ROUND((D5/C5-1)*100,1)</f>
        <v>7.5</v>
      </c>
      <c r="H5" s="22">
        <f>ROUND((421600*H3-105400)/(316200-24600),4)</f>
        <v>1.1928</v>
      </c>
      <c r="J5" s="356"/>
      <c r="K5" s="356"/>
    </row>
    <row r="6" s="334" customFormat="1" ht="21" customHeight="1" spans="1:11">
      <c r="A6" s="57" t="s">
        <v>53</v>
      </c>
      <c r="B6" s="347">
        <f>'表1-2'!C6</f>
        <v>352160</v>
      </c>
      <c r="C6" s="348">
        <f>'表1-2'!D6</f>
        <v>347148</v>
      </c>
      <c r="D6" s="348">
        <f>SUM(D7:D19)</f>
        <v>381500</v>
      </c>
      <c r="E6" s="349">
        <f t="shared" ref="E6:E33" si="0">ROUND((D6/B6-1)*100,1)</f>
        <v>8.3</v>
      </c>
      <c r="F6" s="349">
        <f t="shared" ref="F6:F33" si="1">ROUND((D6/C6-1)*100,1)</f>
        <v>9.9</v>
      </c>
      <c r="H6" s="57"/>
      <c r="I6" s="334">
        <f>D6/D5*100</f>
        <v>74.613729708586</v>
      </c>
      <c r="J6" s="357">
        <f>D6/D5</f>
        <v>0.74613729708586</v>
      </c>
      <c r="K6" s="357"/>
    </row>
    <row r="7" s="334" customFormat="1" ht="21" customHeight="1" spans="1:11">
      <c r="A7" s="350" t="s">
        <v>54</v>
      </c>
      <c r="B7" s="347">
        <f>'表1-2'!C7</f>
        <v>142500</v>
      </c>
      <c r="C7" s="348">
        <f>'表1-2'!D7</f>
        <v>144817</v>
      </c>
      <c r="D7" s="348">
        <f>ROUND(C7*$H$3,-1)+8500-50+861</f>
        <v>164991</v>
      </c>
      <c r="E7" s="349">
        <f t="shared" si="0"/>
        <v>15.8</v>
      </c>
      <c r="F7" s="349">
        <f t="shared" si="1"/>
        <v>13.9</v>
      </c>
      <c r="H7" s="57">
        <f>116354-20000</f>
        <v>96354</v>
      </c>
      <c r="J7" s="357"/>
      <c r="K7" s="357"/>
    </row>
    <row r="8" s="334" customFormat="1" ht="21" customHeight="1" spans="1:11">
      <c r="A8" s="350" t="s">
        <v>84</v>
      </c>
      <c r="B8" s="347">
        <f>'表1-2'!C8</f>
        <v>69200</v>
      </c>
      <c r="C8" s="348">
        <f>'表1-2'!D8</f>
        <v>66572</v>
      </c>
      <c r="D8" s="348">
        <f>ROUND(C8*$H$3,-1)+3500</f>
        <v>75060</v>
      </c>
      <c r="E8" s="349">
        <f t="shared" si="0"/>
        <v>8.5</v>
      </c>
      <c r="F8" s="349">
        <f t="shared" si="1"/>
        <v>12.8</v>
      </c>
      <c r="H8" s="57">
        <v>70100</v>
      </c>
      <c r="J8" s="357"/>
      <c r="K8" s="357"/>
    </row>
    <row r="9" s="334" customFormat="1" ht="21" customHeight="1" spans="1:11">
      <c r="A9" s="350" t="s">
        <v>85</v>
      </c>
      <c r="B9" s="347">
        <f>'表1-2'!C9</f>
        <v>7810</v>
      </c>
      <c r="C9" s="348">
        <f>'表1-2'!D9</f>
        <v>8770</v>
      </c>
      <c r="D9" s="348">
        <f>ROUND(C9*$H$3,-1)+60</f>
        <v>9490</v>
      </c>
      <c r="E9" s="349">
        <f t="shared" si="0"/>
        <v>21.5</v>
      </c>
      <c r="F9" s="349">
        <f t="shared" si="1"/>
        <v>8.2</v>
      </c>
      <c r="H9" s="351">
        <v>10736</v>
      </c>
      <c r="J9" s="357"/>
      <c r="K9" s="357"/>
    </row>
    <row r="10" s="334" customFormat="1" ht="21" customHeight="1" spans="1:11">
      <c r="A10" s="350" t="s">
        <v>86</v>
      </c>
      <c r="B10" s="347">
        <f>'表1-2'!C10</f>
        <v>17000</v>
      </c>
      <c r="C10" s="348">
        <f>'表1-2'!D10</f>
        <v>16664</v>
      </c>
      <c r="D10" s="348">
        <f>ROUND(C10*$H$3,-1)+300</f>
        <v>18210</v>
      </c>
      <c r="E10" s="349">
        <f t="shared" si="0"/>
        <v>7.1</v>
      </c>
      <c r="F10" s="349">
        <f t="shared" si="1"/>
        <v>9.3</v>
      </c>
      <c r="H10" s="351">
        <v>20300</v>
      </c>
      <c r="J10" s="357"/>
      <c r="K10" s="357"/>
    </row>
    <row r="11" s="334" customFormat="1" ht="21" customHeight="1" spans="1:11">
      <c r="A11" s="350" t="s">
        <v>87</v>
      </c>
      <c r="B11" s="347">
        <f>'表1-2'!C11</f>
        <v>21000</v>
      </c>
      <c r="C11" s="348">
        <f>'表1-2'!D11</f>
        <v>22219</v>
      </c>
      <c r="D11" s="348">
        <f>ROUND(C11*$H$3,-1)+300</f>
        <v>24190</v>
      </c>
      <c r="E11" s="349">
        <f t="shared" si="0"/>
        <v>15.2</v>
      </c>
      <c r="F11" s="349">
        <f t="shared" si="1"/>
        <v>8.9</v>
      </c>
      <c r="H11" s="351">
        <v>23500</v>
      </c>
      <c r="J11" s="357"/>
      <c r="K11" s="357"/>
    </row>
    <row r="12" s="334" customFormat="1" ht="21" customHeight="1" spans="1:11">
      <c r="A12" s="350" t="s">
        <v>88</v>
      </c>
      <c r="B12" s="347">
        <f>'表1-2'!C12</f>
        <v>11500</v>
      </c>
      <c r="C12" s="348">
        <f>'表1-2'!D12</f>
        <v>10173</v>
      </c>
      <c r="D12" s="348">
        <f>ROUND(C12*$H$3,-1)+180</f>
        <v>11120</v>
      </c>
      <c r="E12" s="349">
        <f t="shared" si="0"/>
        <v>-3.3</v>
      </c>
      <c r="F12" s="349">
        <f t="shared" si="1"/>
        <v>9.3</v>
      </c>
      <c r="H12" s="351">
        <v>9040</v>
      </c>
      <c r="J12" s="357"/>
      <c r="K12" s="357"/>
    </row>
    <row r="13" s="334" customFormat="1" ht="21" customHeight="1" spans="1:11">
      <c r="A13" s="350" t="s">
        <v>89</v>
      </c>
      <c r="B13" s="347">
        <f>'表1-2'!C13</f>
        <v>6700</v>
      </c>
      <c r="C13" s="348">
        <f>'表1-2'!D13</f>
        <v>6296</v>
      </c>
      <c r="D13" s="348">
        <f>ROUND(C13*$H$3,-1)+200</f>
        <v>6970</v>
      </c>
      <c r="E13" s="349">
        <f t="shared" si="0"/>
        <v>4</v>
      </c>
      <c r="F13" s="349">
        <f t="shared" si="1"/>
        <v>10.7</v>
      </c>
      <c r="H13" s="351">
        <v>5120</v>
      </c>
      <c r="J13" s="357"/>
      <c r="K13" s="357"/>
    </row>
    <row r="14" s="334" customFormat="1" ht="21" customHeight="1" spans="1:11">
      <c r="A14" s="350" t="s">
        <v>90</v>
      </c>
      <c r="B14" s="347">
        <f>'表1-2'!C14</f>
        <v>11000</v>
      </c>
      <c r="C14" s="348">
        <f>'表1-2'!D14</f>
        <v>9294</v>
      </c>
      <c r="D14" s="348">
        <f>ROUND(C14*$H$3,-1)+400</f>
        <v>10390</v>
      </c>
      <c r="E14" s="349">
        <f t="shared" si="0"/>
        <v>-5.5</v>
      </c>
      <c r="F14" s="349">
        <f t="shared" si="1"/>
        <v>11.8</v>
      </c>
      <c r="H14" s="351">
        <v>9500</v>
      </c>
      <c r="J14" s="357"/>
      <c r="K14" s="357"/>
    </row>
    <row r="15" s="334" customFormat="1" ht="21" customHeight="1" spans="1:11">
      <c r="A15" s="350" t="s">
        <v>91</v>
      </c>
      <c r="B15" s="347">
        <f>'表1-2'!C15</f>
        <v>5500</v>
      </c>
      <c r="C15" s="348">
        <f>'表1-2'!D15</f>
        <v>3784</v>
      </c>
      <c r="D15" s="348">
        <f>ROUND(C15*$H$3,-1)+639</f>
        <v>4709</v>
      </c>
      <c r="E15" s="349">
        <f t="shared" si="0"/>
        <v>-14.4</v>
      </c>
      <c r="F15" s="349">
        <f t="shared" si="1"/>
        <v>24.4</v>
      </c>
      <c r="H15" s="351">
        <v>9940</v>
      </c>
      <c r="J15" s="357"/>
      <c r="K15" s="357"/>
    </row>
    <row r="16" s="334" customFormat="1" ht="21" customHeight="1" spans="1:11">
      <c r="A16" s="350" t="s">
        <v>92</v>
      </c>
      <c r="B16" s="347">
        <f>'表1-2'!C16</f>
        <v>3080</v>
      </c>
      <c r="C16" s="348">
        <f>'表1-2'!D16</f>
        <v>2721</v>
      </c>
      <c r="D16" s="348">
        <f>ROUND(C16*$H$3,-1)</f>
        <v>2930</v>
      </c>
      <c r="E16" s="349">
        <f t="shared" si="0"/>
        <v>-4.9</v>
      </c>
      <c r="F16" s="349">
        <f t="shared" si="1"/>
        <v>7.7</v>
      </c>
      <c r="H16" s="351">
        <v>2800</v>
      </c>
      <c r="J16" s="357"/>
      <c r="K16" s="357"/>
    </row>
    <row r="17" s="334" customFormat="1" ht="21" customHeight="1" spans="1:11">
      <c r="A17" s="350" t="s">
        <v>93</v>
      </c>
      <c r="B17" s="347">
        <f>'表1-2'!C17</f>
        <v>33000</v>
      </c>
      <c r="C17" s="348">
        <f>'表1-2'!D17</f>
        <v>34563</v>
      </c>
      <c r="D17" s="348">
        <f>ROUND(C17*$H$3,-1)-8000+400+1000-90</f>
        <v>30470</v>
      </c>
      <c r="E17" s="349">
        <f t="shared" si="0"/>
        <v>-7.7</v>
      </c>
      <c r="F17" s="349">
        <f t="shared" si="1"/>
        <v>-11.8</v>
      </c>
      <c r="H17" s="351">
        <v>11100</v>
      </c>
      <c r="J17" s="357"/>
      <c r="K17" s="357"/>
    </row>
    <row r="18" s="334" customFormat="1" ht="21" customHeight="1" spans="1:11">
      <c r="A18" s="350" t="s">
        <v>94</v>
      </c>
      <c r="B18" s="347">
        <f>'表1-2'!C18</f>
        <v>22870</v>
      </c>
      <c r="C18" s="348">
        <f>'表1-2'!D18</f>
        <v>20557</v>
      </c>
      <c r="D18" s="348">
        <f>ROUND(C18*$H$3,-1)</f>
        <v>22100</v>
      </c>
      <c r="E18" s="349">
        <f t="shared" si="0"/>
        <v>-3.4</v>
      </c>
      <c r="F18" s="349">
        <f t="shared" si="1"/>
        <v>7.5</v>
      </c>
      <c r="H18" s="351">
        <v>46510</v>
      </c>
      <c r="J18" s="357"/>
      <c r="K18" s="357"/>
    </row>
    <row r="19" s="334" customFormat="1" ht="21" customHeight="1" spans="1:11">
      <c r="A19" s="350" t="s">
        <v>95</v>
      </c>
      <c r="B19" s="347">
        <f>'表1-2'!C19</f>
        <v>1000</v>
      </c>
      <c r="C19" s="348">
        <f>'表1-2'!D19</f>
        <v>718</v>
      </c>
      <c r="D19" s="348">
        <f>ROUND(C19*$H$3,-1)+100</f>
        <v>870</v>
      </c>
      <c r="E19" s="349">
        <f t="shared" si="0"/>
        <v>-13</v>
      </c>
      <c r="F19" s="349">
        <f t="shared" si="1"/>
        <v>21.2</v>
      </c>
      <c r="H19" s="351">
        <v>1200</v>
      </c>
      <c r="J19" s="358" t="s">
        <v>165</v>
      </c>
      <c r="K19" s="358"/>
    </row>
    <row r="20" s="334" customFormat="1" ht="21" customHeight="1" spans="1:12">
      <c r="A20" s="57" t="s">
        <v>68</v>
      </c>
      <c r="B20" s="347">
        <f>'表1-2'!C20</f>
        <v>123420</v>
      </c>
      <c r="C20" s="348">
        <f>'表1-2'!D20</f>
        <v>128674</v>
      </c>
      <c r="D20" s="348">
        <f>SUM(D21,D28:D33)</f>
        <v>129800</v>
      </c>
      <c r="E20" s="349">
        <f t="shared" si="0"/>
        <v>5.2</v>
      </c>
      <c r="F20" s="349">
        <f t="shared" si="1"/>
        <v>0.9</v>
      </c>
      <c r="H20" s="334">
        <f>C20*1.1</f>
        <v>141541.4</v>
      </c>
      <c r="J20" s="358"/>
      <c r="K20" s="358" t="s">
        <v>166</v>
      </c>
      <c r="L20" s="334" t="s">
        <v>167</v>
      </c>
    </row>
    <row r="21" s="334" customFormat="1" ht="21" customHeight="1" spans="1:11">
      <c r="A21" s="350" t="s">
        <v>69</v>
      </c>
      <c r="B21" s="348">
        <f>SUM(B22:B27)</f>
        <v>16750</v>
      </c>
      <c r="C21" s="348">
        <f>SUM(C22:C27)</f>
        <v>16645</v>
      </c>
      <c r="D21" s="348">
        <f>SUM(D22:D27)</f>
        <v>18141</v>
      </c>
      <c r="E21" s="349">
        <f t="shared" si="0"/>
        <v>8.3</v>
      </c>
      <c r="F21" s="349">
        <f t="shared" si="1"/>
        <v>9</v>
      </c>
      <c r="H21" s="334">
        <f>H20-D20</f>
        <v>11741.4</v>
      </c>
      <c r="J21" s="357"/>
      <c r="K21" s="357"/>
    </row>
    <row r="22" s="334" customFormat="1" ht="21" customHeight="1" spans="1:11">
      <c r="A22" s="352" t="s">
        <v>70</v>
      </c>
      <c r="B22" s="347">
        <f>'表1-2'!C22</f>
        <v>10200</v>
      </c>
      <c r="C22" s="348">
        <f>'表1-2'!D22</f>
        <v>10455</v>
      </c>
      <c r="D22" s="348">
        <f>ROUND(C22*$I$3,-1)+800-60</f>
        <v>11200</v>
      </c>
      <c r="E22" s="349">
        <f t="shared" si="0"/>
        <v>9.8</v>
      </c>
      <c r="F22" s="349">
        <f t="shared" si="1"/>
        <v>7.1</v>
      </c>
      <c r="H22" s="334">
        <v>10200</v>
      </c>
      <c r="J22" s="357"/>
      <c r="K22" s="357"/>
    </row>
    <row r="23" s="334" customFormat="1" ht="21" customHeight="1" spans="1:11">
      <c r="A23" s="352" t="s">
        <v>71</v>
      </c>
      <c r="B23" s="347">
        <f>'表1-2'!C23</f>
        <v>5250</v>
      </c>
      <c r="C23" s="348">
        <f>'表1-2'!D23</f>
        <v>4918</v>
      </c>
      <c r="D23" s="348">
        <f>ROUND(C23*$I$3,-1)+501</f>
        <v>5421</v>
      </c>
      <c r="E23" s="349">
        <f t="shared" si="0"/>
        <v>3.3</v>
      </c>
      <c r="F23" s="349">
        <f t="shared" si="1"/>
        <v>10.2</v>
      </c>
      <c r="H23" s="334">
        <v>4800</v>
      </c>
      <c r="J23" s="357"/>
      <c r="K23" s="357"/>
    </row>
    <row r="24" s="334" customFormat="1" ht="21" customHeight="1" spans="1:11">
      <c r="A24" s="352" t="s">
        <v>72</v>
      </c>
      <c r="B24" s="347">
        <f>'表1-2'!C24</f>
        <v>1000</v>
      </c>
      <c r="C24" s="348">
        <f>'表1-2'!D24</f>
        <v>1221</v>
      </c>
      <c r="D24" s="348">
        <f>ROUND(C24*$I$3,-1)</f>
        <v>1220</v>
      </c>
      <c r="E24" s="349">
        <f t="shared" si="0"/>
        <v>22</v>
      </c>
      <c r="F24" s="349">
        <f t="shared" si="1"/>
        <v>-0.1</v>
      </c>
      <c r="H24" s="334">
        <v>800</v>
      </c>
      <c r="J24" s="357">
        <v>1000</v>
      </c>
      <c r="K24" s="357"/>
    </row>
    <row r="25" s="334" customFormat="1" ht="21" customHeight="1" spans="1:11">
      <c r="A25" s="352" t="s">
        <v>73</v>
      </c>
      <c r="B25" s="347"/>
      <c r="C25" s="348"/>
      <c r="D25" s="348"/>
      <c r="E25" s="349"/>
      <c r="F25" s="349"/>
      <c r="J25" s="357"/>
      <c r="K25" s="357"/>
    </row>
    <row r="26" s="334" customFormat="1" ht="21" customHeight="1" spans="1:11">
      <c r="A26" s="352" t="s">
        <v>74</v>
      </c>
      <c r="B26" s="347"/>
      <c r="C26" s="348"/>
      <c r="D26" s="348"/>
      <c r="E26" s="349"/>
      <c r="F26" s="349"/>
      <c r="J26" s="357"/>
      <c r="K26" s="357"/>
    </row>
    <row r="27" s="334" customFormat="1" ht="21" customHeight="1" spans="1:11">
      <c r="A27" s="352" t="s">
        <v>75</v>
      </c>
      <c r="B27" s="347">
        <f>'表1-2'!C27</f>
        <v>300</v>
      </c>
      <c r="C27" s="348">
        <f>'表1-2'!D27</f>
        <v>51</v>
      </c>
      <c r="D27" s="348">
        <v>300</v>
      </c>
      <c r="E27" s="349">
        <f>ROUND((D27/B27-1)*100,1)</f>
        <v>0</v>
      </c>
      <c r="F27" s="349">
        <f t="shared" si="1"/>
        <v>488.2</v>
      </c>
      <c r="H27" s="334">
        <v>350</v>
      </c>
      <c r="J27" s="357"/>
      <c r="K27" s="357"/>
    </row>
    <row r="28" s="334" customFormat="1" ht="21" customHeight="1" spans="1:12">
      <c r="A28" s="350" t="s">
        <v>76</v>
      </c>
      <c r="B28" s="347">
        <f>'表1-2'!C28</f>
        <v>7200</v>
      </c>
      <c r="C28" s="348">
        <f>'表1-2'!D28</f>
        <v>8150</v>
      </c>
      <c r="D28" s="348">
        <v>7220</v>
      </c>
      <c r="E28" s="349">
        <f t="shared" si="0"/>
        <v>0.3</v>
      </c>
      <c r="F28" s="349">
        <f t="shared" si="1"/>
        <v>-11.4</v>
      </c>
      <c r="H28" s="334">
        <v>7500</v>
      </c>
      <c r="J28" s="357">
        <v>7316</v>
      </c>
      <c r="K28" s="357">
        <v>398</v>
      </c>
      <c r="L28" s="334">
        <f>1286-300</f>
        <v>986</v>
      </c>
    </row>
    <row r="29" s="334" customFormat="1" ht="21" customHeight="1" spans="1:12">
      <c r="A29" s="350" t="s">
        <v>77</v>
      </c>
      <c r="B29" s="347">
        <f>'表1-2'!C29</f>
        <v>26400</v>
      </c>
      <c r="C29" s="348">
        <f>'表1-2'!D29</f>
        <v>28101</v>
      </c>
      <c r="D29" s="348">
        <v>26400</v>
      </c>
      <c r="E29" s="349">
        <f t="shared" si="0"/>
        <v>0</v>
      </c>
      <c r="F29" s="349">
        <f t="shared" si="1"/>
        <v>-6.1</v>
      </c>
      <c r="H29" s="334">
        <v>20566</v>
      </c>
      <c r="J29" s="357">
        <v>14198</v>
      </c>
      <c r="K29" s="357">
        <v>316</v>
      </c>
      <c r="L29" s="334">
        <v>4486</v>
      </c>
    </row>
    <row r="30" s="334" customFormat="1" ht="21" customHeight="1" spans="1:11">
      <c r="A30" s="350" t="s">
        <v>78</v>
      </c>
      <c r="B30" s="347"/>
      <c r="C30" s="348"/>
      <c r="D30" s="348"/>
      <c r="E30" s="349"/>
      <c r="F30" s="349"/>
      <c r="J30" s="357"/>
      <c r="K30" s="357"/>
    </row>
    <row r="31" s="334" customFormat="1" ht="21" customHeight="1" spans="1:12">
      <c r="A31" s="350" t="s">
        <v>79</v>
      </c>
      <c r="B31" s="347">
        <f>'表1-2'!C31</f>
        <v>70240</v>
      </c>
      <c r="C31" s="348">
        <f>'表1-2'!D31</f>
        <v>72765</v>
      </c>
      <c r="D31" s="348">
        <v>75209</v>
      </c>
      <c r="E31" s="349">
        <f t="shared" si="0"/>
        <v>7.1</v>
      </c>
      <c r="F31" s="349">
        <f t="shared" si="1"/>
        <v>3.4</v>
      </c>
      <c r="H31" s="334">
        <v>58817</v>
      </c>
      <c r="J31" s="357">
        <v>3380</v>
      </c>
      <c r="K31" s="357">
        <v>45024</v>
      </c>
      <c r="L31" s="334">
        <v>10046</v>
      </c>
    </row>
    <row r="32" s="334" customFormat="1" ht="21" customHeight="1" spans="1:11">
      <c r="A32" s="350" t="s">
        <v>80</v>
      </c>
      <c r="B32" s="347">
        <f>'表1-2'!C32</f>
        <v>330</v>
      </c>
      <c r="C32" s="348">
        <f>'表1-2'!D32</f>
        <v>530</v>
      </c>
      <c r="D32" s="348">
        <v>330</v>
      </c>
      <c r="E32" s="349">
        <f t="shared" si="0"/>
        <v>0</v>
      </c>
      <c r="F32" s="349">
        <f t="shared" si="1"/>
        <v>-37.7</v>
      </c>
      <c r="H32" s="334">
        <v>867</v>
      </c>
      <c r="J32" s="357"/>
      <c r="K32" s="357"/>
    </row>
    <row r="33" s="334" customFormat="1" ht="21" customHeight="1" spans="1:12">
      <c r="A33" s="350" t="s">
        <v>81</v>
      </c>
      <c r="B33" s="347">
        <f>'表1-2'!C33</f>
        <v>2500</v>
      </c>
      <c r="C33" s="348">
        <f>'表1-2'!D33</f>
        <v>2483</v>
      </c>
      <c r="D33" s="348">
        <v>2500</v>
      </c>
      <c r="E33" s="349">
        <f t="shared" si="0"/>
        <v>0</v>
      </c>
      <c r="F33" s="349">
        <f t="shared" si="1"/>
        <v>0.7</v>
      </c>
      <c r="H33" s="334">
        <v>1500</v>
      </c>
      <c r="J33" s="357"/>
      <c r="K33" s="357">
        <v>363</v>
      </c>
      <c r="L33" s="334">
        <v>1137</v>
      </c>
    </row>
  </sheetData>
  <mergeCells count="2">
    <mergeCell ref="A2:F2"/>
    <mergeCell ref="J19:K19"/>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G29"/>
  <sheetViews>
    <sheetView view="pageBreakPreview" zoomScaleNormal="100" topLeftCell="A18" workbookViewId="0">
      <selection activeCell="A2" sqref="A2:F2"/>
    </sheetView>
  </sheetViews>
  <sheetFormatPr defaultColWidth="9" defaultRowHeight="14.25" outlineLevelCol="6"/>
  <cols>
    <col min="1" max="1" width="27.875" style="162" customWidth="1"/>
    <col min="2" max="2" width="11.625" style="162" customWidth="1"/>
    <col min="3" max="4" width="13.875" style="321" customWidth="1"/>
    <col min="5" max="5" width="13.625" style="162" hidden="1" customWidth="1"/>
    <col min="6" max="6" width="13.25" style="162" customWidth="1"/>
    <col min="7" max="16384" width="9" style="162"/>
  </cols>
  <sheetData>
    <row r="1" s="157" customFormat="1" ht="20.1" customHeight="1" spans="1:4">
      <c r="A1" s="157" t="s">
        <v>16</v>
      </c>
      <c r="C1" s="322"/>
      <c r="D1" s="322"/>
    </row>
    <row r="2" s="158" customFormat="1" ht="45" customHeight="1" spans="1:6">
      <c r="A2" s="195" t="s">
        <v>168</v>
      </c>
      <c r="B2" s="195"/>
      <c r="C2" s="323"/>
      <c r="D2" s="323"/>
      <c r="E2" s="195"/>
      <c r="F2" s="195"/>
    </row>
    <row r="3" s="159" customFormat="1" ht="20.1" customHeight="1" spans="3:6">
      <c r="C3" s="324"/>
      <c r="D3" s="324"/>
      <c r="F3" s="212" t="s">
        <v>45</v>
      </c>
    </row>
    <row r="4" ht="39.95" customHeight="1" spans="1:6">
      <c r="A4" s="260" t="s">
        <v>97</v>
      </c>
      <c r="B4" s="261" t="s">
        <v>48</v>
      </c>
      <c r="C4" s="325" t="s">
        <v>127</v>
      </c>
      <c r="D4" s="325" t="s">
        <v>169</v>
      </c>
      <c r="E4" s="261" t="s">
        <v>51</v>
      </c>
      <c r="F4" s="261" t="s">
        <v>170</v>
      </c>
    </row>
    <row r="5" s="320" customFormat="1" ht="24.95" customHeight="1" spans="1:6">
      <c r="A5" s="326" t="s">
        <v>98</v>
      </c>
      <c r="B5" s="327">
        <f>SUM(B6:B29)</f>
        <v>810660</v>
      </c>
      <c r="C5" s="328">
        <f>SUM(C6:C29)</f>
        <v>779753.061643</v>
      </c>
      <c r="D5" s="328">
        <f>SUM(D6:D29)</f>
        <v>736849.004668</v>
      </c>
      <c r="E5" s="329">
        <f>ROUND((D5/C5-1)*100,1)</f>
        <v>-5.5</v>
      </c>
      <c r="F5" s="329">
        <f>ROUND(D5/$D$5*100,1)</f>
        <v>100</v>
      </c>
    </row>
    <row r="6" ht="24.95" customHeight="1" spans="1:6">
      <c r="A6" s="276" t="s">
        <v>99</v>
      </c>
      <c r="B6" s="330">
        <f>表2!C6</f>
        <v>108174</v>
      </c>
      <c r="C6" s="312">
        <f>表2!D6</f>
        <v>114872.417889</v>
      </c>
      <c r="D6" s="331">
        <f>109194.090939-100</f>
        <v>109094.090939</v>
      </c>
      <c r="E6" s="332">
        <f>ROUND((D6/C6-1)*100,1)</f>
        <v>-5</v>
      </c>
      <c r="F6" s="332">
        <f t="shared" ref="F6:F29" si="0">ROUND(D6/$D$5*100,1)</f>
        <v>14.8</v>
      </c>
    </row>
    <row r="7" ht="24.95" customHeight="1" spans="1:6">
      <c r="A7" s="276" t="s">
        <v>100</v>
      </c>
      <c r="B7" s="330"/>
      <c r="C7" s="312"/>
      <c r="D7" s="331"/>
      <c r="E7" s="332"/>
      <c r="F7" s="332"/>
    </row>
    <row r="8" ht="24.95" customHeight="1" spans="1:6">
      <c r="A8" s="276" t="s">
        <v>101</v>
      </c>
      <c r="B8" s="330">
        <f>表2!C8</f>
        <v>36494</v>
      </c>
      <c r="C8" s="312">
        <f>表2!D8</f>
        <v>32679.819135</v>
      </c>
      <c r="D8" s="331">
        <v>31213.248569</v>
      </c>
      <c r="E8" s="332">
        <f t="shared" ref="E7:E29" si="1">ROUND((D8/C8-1)*100,1)</f>
        <v>-4.5</v>
      </c>
      <c r="F8" s="332">
        <f t="shared" si="0"/>
        <v>4.2</v>
      </c>
    </row>
    <row r="9" ht="24.95" customHeight="1" spans="1:6">
      <c r="A9" s="276" t="s">
        <v>102</v>
      </c>
      <c r="B9" s="330">
        <f>表2!C9</f>
        <v>155083</v>
      </c>
      <c r="C9" s="312">
        <f>表2!D9</f>
        <v>145538.754437</v>
      </c>
      <c r="D9" s="331">
        <v>155819.679044</v>
      </c>
      <c r="E9" s="332">
        <f t="shared" si="1"/>
        <v>7.1</v>
      </c>
      <c r="F9" s="332">
        <f t="shared" si="0"/>
        <v>21.1</v>
      </c>
    </row>
    <row r="10" ht="24.95" customHeight="1" spans="1:6">
      <c r="A10" s="276" t="s">
        <v>103</v>
      </c>
      <c r="B10" s="330">
        <f>表2!C10</f>
        <v>26738</v>
      </c>
      <c r="C10" s="312">
        <f>表2!D10</f>
        <v>26154.28701</v>
      </c>
      <c r="D10" s="331">
        <v>19716.633114</v>
      </c>
      <c r="E10" s="332">
        <f t="shared" si="1"/>
        <v>-24.6</v>
      </c>
      <c r="F10" s="332">
        <f t="shared" si="0"/>
        <v>2.7</v>
      </c>
    </row>
    <row r="11" ht="24.95" customHeight="1" spans="1:6">
      <c r="A11" s="276" t="s">
        <v>104</v>
      </c>
      <c r="B11" s="330">
        <f>表2!C11</f>
        <v>13322</v>
      </c>
      <c r="C11" s="312">
        <f>表2!D11</f>
        <v>12442.779985</v>
      </c>
      <c r="D11" s="331">
        <v>11196.657965</v>
      </c>
      <c r="E11" s="332">
        <f t="shared" si="1"/>
        <v>-10</v>
      </c>
      <c r="F11" s="332">
        <f t="shared" si="0"/>
        <v>1.5</v>
      </c>
    </row>
    <row r="12" ht="24.95" customHeight="1" spans="1:6">
      <c r="A12" s="276" t="s">
        <v>105</v>
      </c>
      <c r="B12" s="330">
        <f>表2!C12</f>
        <v>79497</v>
      </c>
      <c r="C12" s="312">
        <f>表2!D12</f>
        <v>73181.558477</v>
      </c>
      <c r="D12" s="331">
        <v>86186</v>
      </c>
      <c r="E12" s="332">
        <f t="shared" si="1"/>
        <v>17.8</v>
      </c>
      <c r="F12" s="332">
        <f t="shared" si="0"/>
        <v>11.7</v>
      </c>
    </row>
    <row r="13" ht="24.95" customHeight="1" spans="1:6">
      <c r="A13" s="276" t="s">
        <v>106</v>
      </c>
      <c r="B13" s="330">
        <f>表2!C13</f>
        <v>55079</v>
      </c>
      <c r="C13" s="312">
        <f>表2!D13</f>
        <v>47826.92031</v>
      </c>
      <c r="D13" s="331">
        <v>34879.642987</v>
      </c>
      <c r="E13" s="332">
        <f t="shared" si="1"/>
        <v>-27.1</v>
      </c>
      <c r="F13" s="332">
        <f t="shared" si="0"/>
        <v>4.7</v>
      </c>
    </row>
    <row r="14" ht="24.95" customHeight="1" spans="1:6">
      <c r="A14" s="276" t="s">
        <v>107</v>
      </c>
      <c r="B14" s="330">
        <f>表2!C14</f>
        <v>16885</v>
      </c>
      <c r="C14" s="312">
        <f>表2!D14</f>
        <v>17719.281981</v>
      </c>
      <c r="D14" s="331">
        <v>10063.880711</v>
      </c>
      <c r="E14" s="332">
        <f t="shared" si="1"/>
        <v>-43.2</v>
      </c>
      <c r="F14" s="332">
        <f t="shared" si="0"/>
        <v>1.4</v>
      </c>
    </row>
    <row r="15" ht="24.95" customHeight="1" spans="1:6">
      <c r="A15" s="276" t="s">
        <v>108</v>
      </c>
      <c r="B15" s="330">
        <f>表2!C15</f>
        <v>90411</v>
      </c>
      <c r="C15" s="312">
        <f>表2!D15</f>
        <v>83635.603992</v>
      </c>
      <c r="D15" s="331">
        <f>81836.383566+100-2653-1400-800+5500</f>
        <v>82583.383566</v>
      </c>
      <c r="E15" s="332">
        <f t="shared" si="1"/>
        <v>-1.3</v>
      </c>
      <c r="F15" s="332">
        <f t="shared" si="0"/>
        <v>11.2</v>
      </c>
    </row>
    <row r="16" ht="24.95" customHeight="1" spans="1:6">
      <c r="A16" s="276" t="s">
        <v>109</v>
      </c>
      <c r="B16" s="330">
        <f>表2!C16</f>
        <v>99840</v>
      </c>
      <c r="C16" s="312">
        <f>表2!D16</f>
        <v>95040.518493</v>
      </c>
      <c r="D16" s="331">
        <v>73021.186912</v>
      </c>
      <c r="E16" s="332">
        <f t="shared" si="1"/>
        <v>-23.2</v>
      </c>
      <c r="F16" s="332">
        <f t="shared" si="0"/>
        <v>9.9</v>
      </c>
    </row>
    <row r="17" ht="24.95" customHeight="1" spans="1:6">
      <c r="A17" s="276" t="s">
        <v>110</v>
      </c>
      <c r="B17" s="330">
        <f>表2!C17</f>
        <v>23152</v>
      </c>
      <c r="C17" s="312">
        <f>表2!D17</f>
        <v>22543.655692</v>
      </c>
      <c r="D17" s="331">
        <f>21056.239602+1400+800</f>
        <v>23256.239602</v>
      </c>
      <c r="E17" s="332">
        <f t="shared" si="1"/>
        <v>3.2</v>
      </c>
      <c r="F17" s="332">
        <f t="shared" si="0"/>
        <v>3.2</v>
      </c>
    </row>
    <row r="18" ht="24.95" customHeight="1" spans="1:6">
      <c r="A18" s="276" t="s">
        <v>111</v>
      </c>
      <c r="B18" s="330">
        <f>表2!C18</f>
        <v>42073</v>
      </c>
      <c r="C18" s="312">
        <f>表2!D18</f>
        <v>52832.221827</v>
      </c>
      <c r="D18" s="331">
        <v>20067.183602</v>
      </c>
      <c r="E18" s="332">
        <f t="shared" si="1"/>
        <v>-62</v>
      </c>
      <c r="F18" s="332">
        <f t="shared" si="0"/>
        <v>2.7</v>
      </c>
    </row>
    <row r="19" ht="24.95" customHeight="1" spans="1:6">
      <c r="A19" s="276" t="s">
        <v>112</v>
      </c>
      <c r="B19" s="330">
        <f>表2!C19</f>
        <v>2580</v>
      </c>
      <c r="C19" s="312">
        <f>表2!D19</f>
        <v>1981.339427</v>
      </c>
      <c r="D19" s="331">
        <v>1457.63359</v>
      </c>
      <c r="E19" s="332">
        <f t="shared" si="1"/>
        <v>-26.4</v>
      </c>
      <c r="F19" s="332">
        <f t="shared" si="0"/>
        <v>0.2</v>
      </c>
    </row>
    <row r="20" ht="24.95" customHeight="1" spans="1:6">
      <c r="A20" s="276" t="s">
        <v>113</v>
      </c>
      <c r="B20" s="330">
        <f>表2!C20</f>
        <v>335</v>
      </c>
      <c r="C20" s="312">
        <f>表2!D20</f>
        <v>412.415956</v>
      </c>
      <c r="D20" s="331">
        <v>250</v>
      </c>
      <c r="E20" s="332">
        <f t="shared" si="1"/>
        <v>-39.4</v>
      </c>
      <c r="F20" s="332">
        <f t="shared" si="0"/>
        <v>0</v>
      </c>
    </row>
    <row r="21" ht="24.95" customHeight="1" spans="1:6">
      <c r="A21" s="276" t="s">
        <v>114</v>
      </c>
      <c r="B21" s="330">
        <f>表2!C21</f>
        <v>830</v>
      </c>
      <c r="C21" s="312">
        <f>表2!D21</f>
        <v>880</v>
      </c>
      <c r="D21" s="331">
        <v>830</v>
      </c>
      <c r="E21" s="332">
        <f t="shared" si="1"/>
        <v>-5.7</v>
      </c>
      <c r="F21" s="332">
        <f t="shared" si="0"/>
        <v>0.1</v>
      </c>
    </row>
    <row r="22" ht="24.95" customHeight="1" spans="1:6">
      <c r="A22" s="276" t="s">
        <v>115</v>
      </c>
      <c r="B22" s="330">
        <f>表2!C22</f>
        <v>15447</v>
      </c>
      <c r="C22" s="312">
        <f>表2!D22</f>
        <v>14337.954326</v>
      </c>
      <c r="D22" s="331">
        <v>12496.62314</v>
      </c>
      <c r="E22" s="332">
        <f t="shared" si="1"/>
        <v>-12.8</v>
      </c>
      <c r="F22" s="332">
        <f t="shared" si="0"/>
        <v>1.7</v>
      </c>
    </row>
    <row r="23" ht="24.95" customHeight="1" spans="1:6">
      <c r="A23" s="276" t="s">
        <v>116</v>
      </c>
      <c r="B23" s="330">
        <f>表2!C23</f>
        <v>13944</v>
      </c>
      <c r="C23" s="312">
        <f>表2!D23</f>
        <v>9926.91447</v>
      </c>
      <c r="D23" s="331">
        <f>13203.4-5500</f>
        <v>7703.4</v>
      </c>
      <c r="E23" s="332">
        <f t="shared" si="1"/>
        <v>-22.4</v>
      </c>
      <c r="F23" s="332">
        <f t="shared" si="0"/>
        <v>1</v>
      </c>
    </row>
    <row r="24" ht="24.95" customHeight="1" spans="1:6">
      <c r="A24" s="276" t="s">
        <v>117</v>
      </c>
      <c r="B24" s="330">
        <f>表2!C24</f>
        <v>2035</v>
      </c>
      <c r="C24" s="312">
        <f>表2!D24</f>
        <v>1962.378</v>
      </c>
      <c r="D24" s="331">
        <v>889</v>
      </c>
      <c r="E24" s="332">
        <f t="shared" si="1"/>
        <v>-54.7</v>
      </c>
      <c r="F24" s="332">
        <f t="shared" si="0"/>
        <v>0.1</v>
      </c>
    </row>
    <row r="25" ht="24.95" customHeight="1" spans="1:6">
      <c r="A25" s="276" t="s">
        <v>118</v>
      </c>
      <c r="B25" s="330">
        <f>表2!C25</f>
        <v>7532</v>
      </c>
      <c r="C25" s="312">
        <f>表2!D25</f>
        <v>6659.693328</v>
      </c>
      <c r="D25" s="331">
        <v>4853.520927</v>
      </c>
      <c r="E25" s="332">
        <f t="shared" si="1"/>
        <v>-27.1</v>
      </c>
      <c r="F25" s="332">
        <f t="shared" si="0"/>
        <v>0.7</v>
      </c>
    </row>
    <row r="26" ht="24.95" customHeight="1" spans="1:6">
      <c r="A26" s="276" t="s">
        <v>171</v>
      </c>
      <c r="B26" s="330"/>
      <c r="C26" s="312"/>
      <c r="D26" s="331">
        <v>3000</v>
      </c>
      <c r="E26" s="332" t="e">
        <f t="shared" si="1"/>
        <v>#DIV/0!</v>
      </c>
      <c r="F26" s="332">
        <f t="shared" si="0"/>
        <v>0.4</v>
      </c>
    </row>
    <row r="27" ht="24.95" customHeight="1" spans="1:6">
      <c r="A27" s="276" t="s">
        <v>119</v>
      </c>
      <c r="B27" s="330">
        <f>表2!C26</f>
        <v>1990</v>
      </c>
      <c r="C27" s="312">
        <f>表2!D26</f>
        <v>878</v>
      </c>
      <c r="D27" s="331">
        <v>30000</v>
      </c>
      <c r="E27" s="332">
        <f t="shared" si="1"/>
        <v>3316.9</v>
      </c>
      <c r="F27" s="332">
        <f t="shared" si="0"/>
        <v>4.1</v>
      </c>
    </row>
    <row r="28" ht="24.95" customHeight="1" spans="1:7">
      <c r="A28" s="276" t="s">
        <v>120</v>
      </c>
      <c r="B28" s="330">
        <f>表2!C27</f>
        <v>19126</v>
      </c>
      <c r="C28" s="312">
        <f>表2!D27</f>
        <v>18156.256876</v>
      </c>
      <c r="D28" s="331">
        <v>18181</v>
      </c>
      <c r="E28" s="332">
        <f t="shared" si="1"/>
        <v>0.1</v>
      </c>
      <c r="F28" s="332">
        <f t="shared" si="0"/>
        <v>2.5</v>
      </c>
      <c r="G28" s="307"/>
    </row>
    <row r="29" ht="24.95" customHeight="1" spans="1:6">
      <c r="A29" s="276" t="s">
        <v>121</v>
      </c>
      <c r="B29" s="330">
        <f>表2!C28</f>
        <v>93</v>
      </c>
      <c r="C29" s="312">
        <f>表2!D28</f>
        <v>90.290032</v>
      </c>
      <c r="D29" s="331">
        <v>90</v>
      </c>
      <c r="E29" s="332">
        <f t="shared" si="1"/>
        <v>-0.3</v>
      </c>
      <c r="F29" s="332">
        <f t="shared" si="0"/>
        <v>0</v>
      </c>
    </row>
  </sheetData>
  <mergeCells count="1">
    <mergeCell ref="A2:F2"/>
  </mergeCells>
  <printOptions horizontalCentered="1"/>
  <pageMargins left="0.786805555555556" right="0.590277777777778" top="0.984027777777778" bottom="0.786805555555556" header="0.313888888888889" footer="0.313888888888889"/>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F24"/>
  <sheetViews>
    <sheetView view="pageBreakPreview" zoomScaleNormal="100" workbookViewId="0">
      <selection activeCell="A23" sqref="$A23:$XFD23"/>
    </sheetView>
  </sheetViews>
  <sheetFormatPr defaultColWidth="9" defaultRowHeight="14.25" outlineLevelCol="5"/>
  <cols>
    <col min="1" max="1" width="25.625" style="162" customWidth="1"/>
    <col min="2" max="3" width="17.625" style="162" customWidth="1"/>
    <col min="4" max="4" width="25.625" style="162" customWidth="1"/>
    <col min="5" max="6" width="17.625" style="162" customWidth="1"/>
    <col min="7" max="16384" width="9" style="162"/>
  </cols>
  <sheetData>
    <row r="1" s="157" customFormat="1" ht="20.1" customHeight="1" spans="1:1">
      <c r="A1" s="157" t="s">
        <v>18</v>
      </c>
    </row>
    <row r="2" s="158" customFormat="1" ht="45" customHeight="1" spans="1:6">
      <c r="A2" s="195" t="s">
        <v>172</v>
      </c>
      <c r="B2" s="195"/>
      <c r="C2" s="195"/>
      <c r="D2" s="195"/>
      <c r="E2" s="195"/>
      <c r="F2" s="195"/>
    </row>
    <row r="3" s="159" customFormat="1" ht="20.1" customHeight="1" spans="6:6">
      <c r="F3" s="212" t="s">
        <v>45</v>
      </c>
    </row>
    <row r="4" s="160" customFormat="1" ht="20" customHeight="1" spans="1:6">
      <c r="A4" s="308" t="s">
        <v>123</v>
      </c>
      <c r="B4" s="308"/>
      <c r="C4" s="309"/>
      <c r="D4" s="308" t="s">
        <v>124</v>
      </c>
      <c r="E4" s="308"/>
      <c r="F4" s="308"/>
    </row>
    <row r="5" s="259" customFormat="1" ht="20" customHeight="1" spans="1:6">
      <c r="A5" s="308" t="s">
        <v>125</v>
      </c>
      <c r="B5" s="308" t="s">
        <v>127</v>
      </c>
      <c r="C5" s="309" t="s">
        <v>169</v>
      </c>
      <c r="D5" s="308" t="s">
        <v>125</v>
      </c>
      <c r="E5" s="308" t="s">
        <v>127</v>
      </c>
      <c r="F5" s="308" t="s">
        <v>169</v>
      </c>
    </row>
    <row r="6" ht="20" customHeight="1" spans="1:6">
      <c r="A6" s="310" t="s">
        <v>128</v>
      </c>
      <c r="B6" s="311">
        <f>表3!C6</f>
        <v>475822</v>
      </c>
      <c r="C6" s="311">
        <f>'表4-2'!D5</f>
        <v>511300</v>
      </c>
      <c r="D6" s="310" t="s">
        <v>129</v>
      </c>
      <c r="E6" s="312">
        <f>表3!F6</f>
        <v>779753.061643</v>
      </c>
      <c r="F6" s="312">
        <f>表5!D5</f>
        <v>736849.004668</v>
      </c>
    </row>
    <row r="7" ht="20" customHeight="1" spans="1:6">
      <c r="A7" s="310" t="s">
        <v>130</v>
      </c>
      <c r="B7" s="311">
        <f>表3!C7</f>
        <v>481695</v>
      </c>
      <c r="C7" s="313">
        <f>C8+C12+C13+C16+C20</f>
        <v>364912</v>
      </c>
      <c r="D7" s="310" t="s">
        <v>131</v>
      </c>
      <c r="E7" s="312">
        <f>E8+E12+E13+E14+E15</f>
        <v>177764</v>
      </c>
      <c r="F7" s="312">
        <f>F8+F12+F13+F14+F15</f>
        <v>139362.5</v>
      </c>
    </row>
    <row r="8" ht="20" customHeight="1" spans="1:6">
      <c r="A8" s="314" t="s">
        <v>132</v>
      </c>
      <c r="B8" s="311">
        <f>表3!C8</f>
        <v>311159</v>
      </c>
      <c r="C8" s="311">
        <f>SUM(C9:C11)</f>
        <v>205666</v>
      </c>
      <c r="D8" s="314" t="s">
        <v>133</v>
      </c>
      <c r="E8" s="312">
        <f>SUM(E9:E11)</f>
        <v>84406</v>
      </c>
      <c r="F8" s="312">
        <f>SUM(F9:F11)</f>
        <v>89587.5</v>
      </c>
    </row>
    <row r="9" ht="20" customHeight="1" spans="1:6">
      <c r="A9" s="314" t="s">
        <v>134</v>
      </c>
      <c r="B9" s="311">
        <f>表3!C9</f>
        <v>2685</v>
      </c>
      <c r="C9" s="311">
        <f>表7!D6</f>
        <v>2685</v>
      </c>
      <c r="D9" s="315" t="s">
        <v>135</v>
      </c>
      <c r="E9" s="312">
        <f>表3!F9</f>
        <v>1789</v>
      </c>
      <c r="F9" s="312">
        <v>1789</v>
      </c>
    </row>
    <row r="10" ht="20" customHeight="1" spans="1:6">
      <c r="A10" s="314" t="s">
        <v>136</v>
      </c>
      <c r="B10" s="311">
        <f>表3!C10</f>
        <v>277575</v>
      </c>
      <c r="C10" s="311">
        <f>表7!D12</f>
        <v>198923</v>
      </c>
      <c r="D10" s="315" t="s">
        <v>137</v>
      </c>
      <c r="E10" s="312">
        <f>表3!F10</f>
        <v>72554</v>
      </c>
      <c r="F10" s="312">
        <f>'表4-2'!D6*0.209</f>
        <v>79733.5</v>
      </c>
    </row>
    <row r="11" ht="20" customHeight="1" spans="1:6">
      <c r="A11" s="314" t="s">
        <v>138</v>
      </c>
      <c r="B11" s="311">
        <f>表3!C11</f>
        <v>30899</v>
      </c>
      <c r="C11" s="311">
        <f>表7!D270</f>
        <v>4058</v>
      </c>
      <c r="D11" s="315" t="s">
        <v>139</v>
      </c>
      <c r="E11" s="312">
        <f>表3!F11</f>
        <v>10063</v>
      </c>
      <c r="F11" s="312">
        <f>10063+3020-146+660-5432-100</f>
        <v>8065</v>
      </c>
    </row>
    <row r="12" ht="20" customHeight="1" spans="1:6">
      <c r="A12" s="314" t="s">
        <v>140</v>
      </c>
      <c r="B12" s="311">
        <f>表3!C12</f>
        <v>87358</v>
      </c>
      <c r="C12" s="311">
        <v>19402</v>
      </c>
      <c r="D12" s="314" t="s">
        <v>141</v>
      </c>
      <c r="E12" s="312">
        <f>表3!F12</f>
        <v>61395</v>
      </c>
      <c r="F12" s="312">
        <f>40963+156</f>
        <v>41119</v>
      </c>
    </row>
    <row r="13" ht="20" customHeight="1" spans="1:6">
      <c r="A13" s="314" t="s">
        <v>142</v>
      </c>
      <c r="B13" s="311">
        <f>表3!C13</f>
        <v>45262</v>
      </c>
      <c r="C13" s="311">
        <f>C14+C15</f>
        <v>26708</v>
      </c>
      <c r="D13" s="314" t="s">
        <v>143</v>
      </c>
      <c r="E13" s="312">
        <f>表3!F13</f>
        <v>5255</v>
      </c>
      <c r="F13" s="312">
        <f>1272+4731+2653</f>
        <v>8656</v>
      </c>
    </row>
    <row r="14" ht="20" customHeight="1" spans="1:6">
      <c r="A14" s="314" t="s">
        <v>144</v>
      </c>
      <c r="B14" s="311">
        <f>表3!C14</f>
        <v>45262</v>
      </c>
      <c r="C14" s="311">
        <f>E16</f>
        <v>26708</v>
      </c>
      <c r="D14" s="314" t="s">
        <v>145</v>
      </c>
      <c r="E14" s="312"/>
      <c r="F14" s="312"/>
    </row>
    <row r="15" ht="20" customHeight="1" spans="1:6">
      <c r="A15" s="314" t="s">
        <v>146</v>
      </c>
      <c r="B15" s="311"/>
      <c r="C15" s="311"/>
      <c r="D15" s="314" t="s">
        <v>147</v>
      </c>
      <c r="E15" s="312">
        <f>表3!F15</f>
        <v>26708</v>
      </c>
      <c r="F15" s="312"/>
    </row>
    <row r="16" ht="20" customHeight="1" spans="1:6">
      <c r="A16" s="314" t="s">
        <v>148</v>
      </c>
      <c r="B16" s="311">
        <f>SUM(B17:B19)</f>
        <v>17916</v>
      </c>
      <c r="C16" s="311">
        <f>SUM(C17:C19)</f>
        <v>99136</v>
      </c>
      <c r="D16" s="314" t="s">
        <v>149</v>
      </c>
      <c r="E16" s="312">
        <f>表3!F16</f>
        <v>26708</v>
      </c>
      <c r="F16" s="312"/>
    </row>
    <row r="17" ht="20" customHeight="1" spans="1:6">
      <c r="A17" s="314" t="s">
        <v>150</v>
      </c>
      <c r="B17" s="311">
        <f>表3!C17</f>
        <v>16384</v>
      </c>
      <c r="C17" s="311">
        <f>[3]表3!$H$23</f>
        <v>96391</v>
      </c>
      <c r="D17" s="314" t="s">
        <v>151</v>
      </c>
      <c r="E17" s="312"/>
      <c r="F17" s="312"/>
    </row>
    <row r="18" ht="20" customHeight="1" spans="1:6">
      <c r="A18" s="314" t="s">
        <v>152</v>
      </c>
      <c r="B18" s="311">
        <f>表3!C18</f>
        <v>1532</v>
      </c>
      <c r="C18" s="311">
        <f>[1]表3!$H$13</f>
        <v>2745</v>
      </c>
      <c r="D18" s="314"/>
      <c r="E18" s="312"/>
      <c r="F18" s="312"/>
    </row>
    <row r="19" ht="20" customHeight="1" spans="1:6">
      <c r="A19" s="314" t="s">
        <v>153</v>
      </c>
      <c r="B19" s="311"/>
      <c r="C19" s="311"/>
      <c r="D19" s="314"/>
      <c r="E19" s="312"/>
      <c r="F19" s="312"/>
    </row>
    <row r="20" ht="20" customHeight="1" spans="1:6">
      <c r="A20" s="314" t="s">
        <v>154</v>
      </c>
      <c r="B20" s="311">
        <f>表3!C20</f>
        <v>20000</v>
      </c>
      <c r="C20" s="311">
        <v>14000</v>
      </c>
      <c r="D20" s="314"/>
      <c r="E20" s="312"/>
      <c r="F20" s="312"/>
    </row>
    <row r="21" ht="20" customHeight="1" spans="1:6">
      <c r="A21" s="314"/>
      <c r="B21" s="311"/>
      <c r="C21" s="311"/>
      <c r="D21" s="314"/>
      <c r="E21" s="312"/>
      <c r="F21" s="312"/>
    </row>
    <row r="22" s="161" customFormat="1" ht="20" customHeight="1" spans="1:6">
      <c r="A22" s="316" t="s">
        <v>155</v>
      </c>
      <c r="B22" s="317">
        <f>B6+B7</f>
        <v>957517</v>
      </c>
      <c r="C22" s="317">
        <f>C6+C7</f>
        <v>876212</v>
      </c>
      <c r="D22" s="316" t="s">
        <v>156</v>
      </c>
      <c r="E22" s="318">
        <f>E6+E7</f>
        <v>957517.061643</v>
      </c>
      <c r="F22" s="318">
        <f>F6+F7</f>
        <v>876211.504668</v>
      </c>
    </row>
    <row r="24" ht="20.25" spans="3:3">
      <c r="C24" s="319"/>
    </row>
  </sheetData>
  <mergeCells count="3">
    <mergeCell ref="A2:F2"/>
    <mergeCell ref="A4:C4"/>
    <mergeCell ref="D4:F4"/>
  </mergeCells>
  <printOptions horizontalCentered="1"/>
  <pageMargins left="0.786805555555556" right="0.786805555555556" top="0.984027777777778" bottom="0.786805555555556" header="0.313888888888889" footer="0.313888888888889"/>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21</vt:i4>
      </vt:variant>
    </vt:vector>
  </HeadingPairs>
  <TitlesOfParts>
    <vt:vector size="21" baseType="lpstr">
      <vt:lpstr>目录</vt:lpstr>
      <vt:lpstr>表1-1</vt:lpstr>
      <vt:lpstr>表1-2</vt:lpstr>
      <vt:lpstr>表2</vt:lpstr>
      <vt:lpstr>表3</vt:lpstr>
      <vt:lpstr>表4-1</vt:lpstr>
      <vt:lpstr>表4-2</vt:lpstr>
      <vt:lpstr>表5</vt:lpstr>
      <vt:lpstr>表6</vt:lpstr>
      <vt:lpstr>表7</vt:lpstr>
      <vt:lpstr>表8</vt:lpstr>
      <vt:lpstr>表9</vt:lpstr>
      <vt:lpstr>表10-1 </vt:lpstr>
      <vt:lpstr>表10-2</vt:lpstr>
      <vt:lpstr>表11</vt:lpstr>
      <vt:lpstr>表12 </vt:lpstr>
      <vt:lpstr>表13</vt:lpstr>
      <vt:lpstr>表14</vt:lpstr>
      <vt:lpstr>表15</vt:lpstr>
      <vt:lpstr>表16</vt:lpstr>
      <vt:lpstr>表17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碧海蓝天</cp:lastModifiedBy>
  <dcterms:created xsi:type="dcterms:W3CDTF">2022-01-10T12:45:00Z</dcterms:created>
  <cp:lastPrinted>2022-12-29T12:41:00Z</cp:lastPrinted>
  <dcterms:modified xsi:type="dcterms:W3CDTF">2024-02-01T02:00:41Z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_Doc_Temp_ID">
    <vt:lpwstr>55946b02</vt:lpwstr>
  </property>
  <property fmtid="{D5CDD505-2E9C-101B-9397-08002B2CF9AE}" pid="3" name="KSOProductBuildVer">
    <vt:lpwstr>2052-12.1.0.16120</vt:lpwstr>
  </property>
  <property fmtid="{D5CDD505-2E9C-101B-9397-08002B2CF9AE}" pid="4" name="KSOReadingLayout">
    <vt:bool>true</vt:bool>
  </property>
  <property fmtid="{D5CDD505-2E9C-101B-9397-08002B2CF9AE}" pid="5" name="ICV">
    <vt:lpwstr>BC87BF327F4C4ED280B72340089A2BD7_13</vt:lpwstr>
  </property>
</Properties>
</file>