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90" windowHeight="11700" firstSheet="1" activeTab="3"/>
  </bookViews>
  <sheets>
    <sheet name="目录" sheetId="2" state="hidden" r:id="rId1"/>
    <sheet name="表1" sheetId="1" r:id="rId2"/>
    <sheet name="表2" sheetId="3" r:id="rId3"/>
    <sheet name="表3" sheetId="10" r:id="rId4"/>
    <sheet name="表3-原表" sheetId="4" state="hidden" r:id="rId5"/>
    <sheet name="表4" sheetId="9" r:id="rId6"/>
    <sheet name="表5" sheetId="5" r:id="rId7"/>
    <sheet name="表6" sheetId="7" r:id="rId8"/>
    <sheet name="表7" sheetId="8" r:id="rId9"/>
  </sheets>
  <definedNames>
    <definedName name="_xlnm.Print_Area" localSheetId="1">表1!$A$1:$E$24</definedName>
    <definedName name="_xlnm.Print_Area" localSheetId="2">表2!$A$1:$E$39</definedName>
    <definedName name="_xlnm.Print_Area" localSheetId="3">表3!$A$1:$H$25</definedName>
    <definedName name="_xlnm.Print_Area" localSheetId="6">表5!$A$1:$C$18</definedName>
    <definedName name="_xlnm.Print_Area" localSheetId="8">表7!$A$1:$D$14</definedName>
    <definedName name="_xlnm.Print_Area" localSheetId="5">表4!$A$1:$F$5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D24" authorId="0">
      <text>
        <r>
          <rPr>
            <b/>
            <sz val="9"/>
            <rFont val="宋体"/>
            <charset val="134"/>
          </rPr>
          <t>Administrator:</t>
        </r>
        <r>
          <rPr>
            <sz val="9"/>
            <rFont val="宋体"/>
            <charset val="134"/>
          </rPr>
          <t xml:space="preserve">
专项债利息收入20824+发行费150</t>
        </r>
      </text>
    </comment>
  </commentList>
</comments>
</file>

<file path=xl/sharedStrings.xml><?xml version="1.0" encoding="utf-8"?>
<sst xmlns="http://schemas.openxmlformats.org/spreadsheetml/2006/main" count="273" uniqueCount="184">
  <si>
    <t>目录</t>
  </si>
  <si>
    <t>表号</t>
  </si>
  <si>
    <t>标题</t>
  </si>
  <si>
    <t>备注</t>
  </si>
  <si>
    <t>表1</t>
  </si>
  <si>
    <t>2022-2023年政府性基金预算收入表</t>
  </si>
  <si>
    <t>表2</t>
  </si>
  <si>
    <t>2022-2023年政府性基金预算支出表</t>
  </si>
  <si>
    <t>表3</t>
  </si>
  <si>
    <t>2022-2023年政府性基金预算收支平衡表</t>
  </si>
  <si>
    <t>表4</t>
  </si>
  <si>
    <t>2022年本级政府专项债务限额和余额情况表</t>
  </si>
  <si>
    <t>表5</t>
  </si>
  <si>
    <t>2023年国有土地使用权出让收入计划表</t>
  </si>
  <si>
    <t>表6</t>
  </si>
  <si>
    <t>2023年城市基础设施配套费收支计划表</t>
  </si>
  <si>
    <t>表7</t>
  </si>
  <si>
    <t>2023年污水处理费收支计划表</t>
  </si>
  <si>
    <t>2023-2024年政府性基金预算收入表</t>
  </si>
  <si>
    <t>单位：万元</t>
  </si>
  <si>
    <t>收入项目</t>
  </si>
  <si>
    <t>2023年
调整预算数</t>
  </si>
  <si>
    <t>2023年
执行数</t>
  </si>
  <si>
    <t>2024年
预算数</t>
  </si>
  <si>
    <t>增幅%</t>
  </si>
  <si>
    <t>收入合计</t>
  </si>
  <si>
    <t>一、港口建设费收入</t>
  </si>
  <si>
    <t>二、国家电影事业发展专项资金收入</t>
  </si>
  <si>
    <t>三、国有土地收益基金收入</t>
  </si>
  <si>
    <t>四、农业土地开发资金收入</t>
  </si>
  <si>
    <t>五、国有土地使用权出让收入</t>
  </si>
  <si>
    <t>土地出让价款收入</t>
  </si>
  <si>
    <t>补缴的土地价款</t>
  </si>
  <si>
    <t>划拨土地收入</t>
  </si>
  <si>
    <t>缴纳新增建设用地土地有偿使用费</t>
  </si>
  <si>
    <t>其他土地出让收入</t>
  </si>
  <si>
    <t>六、城市基础设施配套费收入</t>
  </si>
  <si>
    <t>七、污水处理费收入</t>
  </si>
  <si>
    <t>八、其他政府性基金收入</t>
  </si>
  <si>
    <t>九、专项债务对应项目专项收入</t>
  </si>
  <si>
    <t xml:space="preserve">  国有土地使用权出让金专项债务对应项目专项收入  </t>
  </si>
  <si>
    <t xml:space="preserve">  农业土地开发资金专项债务对应项目专项收入  </t>
  </si>
  <si>
    <t xml:space="preserve">  城市基础设施配套费专项债务对应项目专项收入  </t>
  </si>
  <si>
    <t xml:space="preserve">  污水处理费专项债务对应项目专项收入  </t>
  </si>
  <si>
    <t xml:space="preserve">  其他政府性基金专项债务对应项目专项收入  </t>
  </si>
  <si>
    <t>2023-2024年政府性基金预算支出表</t>
  </si>
  <si>
    <t>支出项目</t>
  </si>
  <si>
    <t>支出合计</t>
  </si>
  <si>
    <t>一、文化旅游体育与传媒支出</t>
  </si>
  <si>
    <t>国家电影事业发展专项资金安排的支出</t>
  </si>
  <si>
    <t>旅游发展基金支出</t>
  </si>
  <si>
    <t>二、社会保障和就业</t>
  </si>
  <si>
    <t>大中型水库移民后期扶持基金支出</t>
  </si>
  <si>
    <t>小型水库移民扶助基金安排的支出</t>
  </si>
  <si>
    <t>三、城乡社区支出</t>
  </si>
  <si>
    <t>国有土地使用权出让收入安排的支出</t>
  </si>
  <si>
    <t>征地和拆迁补偿支出</t>
  </si>
  <si>
    <t>土地开发支出</t>
  </si>
  <si>
    <t>城市建设支出</t>
  </si>
  <si>
    <t>农村基础设施建设支出</t>
  </si>
  <si>
    <t>补助被征地农民支出</t>
  </si>
  <si>
    <t>土地出让业务支出</t>
  </si>
  <si>
    <t>廉租住房支出</t>
  </si>
  <si>
    <t>支付破产或改制企业职工安置费</t>
  </si>
  <si>
    <t>棚户区改造支出</t>
  </si>
  <si>
    <t>保障性住房租金补贴</t>
  </si>
  <si>
    <t>其他国有土地使用权出让收入安排的支出</t>
  </si>
  <si>
    <t xml:space="preserve"> 城市基础设施配套费对应专项债务收入安排的支出</t>
  </si>
  <si>
    <t>国有土地收益基金安排的支出</t>
  </si>
  <si>
    <t>农业土地开发资金安排的支出</t>
  </si>
  <si>
    <t>城市基础设施配套费安排的支出</t>
  </si>
  <si>
    <t>污水处理费安排的支出</t>
  </si>
  <si>
    <t>四、农林水支出</t>
  </si>
  <si>
    <t>大中型水库库区基金安排的支出</t>
  </si>
  <si>
    <t>三峡水库库区基金支出</t>
  </si>
  <si>
    <t>国家重大水利工程建设基金安排的支出</t>
  </si>
  <si>
    <t>五、其他支出</t>
  </si>
  <si>
    <t>其他政府性基金及对应专项债务收入安排的支出</t>
  </si>
  <si>
    <t>彩票发行销售机构业务费安排的支出</t>
  </si>
  <si>
    <t>彩票公益金安排的支出</t>
  </si>
  <si>
    <t>六、债务付息支出</t>
  </si>
  <si>
    <t>七、债务发行费用支出</t>
  </si>
  <si>
    <t>2023-2024年政府性基金预算收支平衡表</t>
  </si>
  <si>
    <t>收              入</t>
  </si>
  <si>
    <t>支                    出</t>
  </si>
  <si>
    <t>项目</t>
  </si>
  <si>
    <t>一、政府性基金收入</t>
  </si>
  <si>
    <t>一、政府性基金支出</t>
  </si>
  <si>
    <t>1.国有土地收益基金收入</t>
  </si>
  <si>
    <t>1.文化旅游体育与传媒支出</t>
  </si>
  <si>
    <t>2.农业土地开发资金收入</t>
  </si>
  <si>
    <t>2.社会保障和就业支出</t>
  </si>
  <si>
    <t>3.国有土地使用权出让收入</t>
  </si>
  <si>
    <t>3.城乡社区支出</t>
  </si>
  <si>
    <t xml:space="preserve">  土地出让价款收入</t>
  </si>
  <si>
    <t xml:space="preserve">  补缴的土地价款</t>
  </si>
  <si>
    <t xml:space="preserve">  划拨土地收入</t>
  </si>
  <si>
    <t xml:space="preserve">  缴纳新增建设用地土地有偿使用费</t>
  </si>
  <si>
    <t xml:space="preserve">  其他土地出让收入</t>
  </si>
  <si>
    <t>4.城市基础设施配套费收入</t>
  </si>
  <si>
    <t>城市基础设施配套费对应专项债务收入安排的支出</t>
  </si>
  <si>
    <t>5.污水处理费收入</t>
  </si>
  <si>
    <t>4.农林水支出</t>
  </si>
  <si>
    <t>6.其他政府性基金收入</t>
  </si>
  <si>
    <t>5.其他支出</t>
  </si>
  <si>
    <t>7.专项债务对应项目专项收入</t>
  </si>
  <si>
    <t>6.债务付息支出</t>
  </si>
  <si>
    <t>二、转移性收入</t>
  </si>
  <si>
    <t>7.债务发行费用支出</t>
  </si>
  <si>
    <t>1.政府性基金转移收入</t>
  </si>
  <si>
    <t>二、转移性支出</t>
  </si>
  <si>
    <t>2.专项债券转贷收入</t>
  </si>
  <si>
    <t>1.政府性基金转移支付支出</t>
  </si>
  <si>
    <t>3.调入资金</t>
  </si>
  <si>
    <t>2.专项债券还本支出</t>
  </si>
  <si>
    <t>4.上年结余收入</t>
  </si>
  <si>
    <t>3.调出资金</t>
  </si>
  <si>
    <t>4.年终结余</t>
  </si>
  <si>
    <t>收入总计</t>
  </si>
  <si>
    <t>支出总计</t>
  </si>
  <si>
    <t>2021-2022年政府性基金预算收支平衡表</t>
  </si>
  <si>
    <t>2021年
调整预算数</t>
  </si>
  <si>
    <t>2021年
执行数</t>
  </si>
  <si>
    <t>2022年
预算数</t>
  </si>
  <si>
    <t xml:space="preserve">   减：结转下年支出</t>
  </si>
  <si>
    <t xml:space="preserve">       累计净结余</t>
  </si>
  <si>
    <t>2023年本级政府专项债务限额和余额情况表</t>
  </si>
  <si>
    <t>2023年
专项债务限额</t>
  </si>
  <si>
    <t>2023年
专项债务转贷额</t>
  </si>
  <si>
    <t>2023年专项
债务偿还本金额</t>
  </si>
  <si>
    <t>2023年末
专项债务余额</t>
  </si>
  <si>
    <t>大冶市本级</t>
  </si>
  <si>
    <t>2024年国有土地使用权出让收入计划表</t>
  </si>
  <si>
    <t>单位：亩、万元</t>
  </si>
  <si>
    <t>2024年预算</t>
  </si>
  <si>
    <t>一、国有土地使用权出让毛收入</t>
  </si>
  <si>
    <t>1.商住项目收入</t>
  </si>
  <si>
    <t>2.工业项目收入</t>
  </si>
  <si>
    <t>3.历年清欠收入</t>
  </si>
  <si>
    <t>4.平台项目收入</t>
  </si>
  <si>
    <t>5.其他项目收入</t>
  </si>
  <si>
    <t>二、缴纳新增建设用地有偿使用费</t>
  </si>
  <si>
    <t>上缴省级，单独列示</t>
  </si>
  <si>
    <t>三、国有土地出让各项计提收入</t>
  </si>
  <si>
    <t>单独列示</t>
  </si>
  <si>
    <t>3.教育资金收入</t>
  </si>
  <si>
    <t>4.农田水利建设资金收入</t>
  </si>
  <si>
    <t>5.廉租房保障资金收入</t>
  </si>
  <si>
    <t>在“其他土地出让金收入”中列示</t>
  </si>
  <si>
    <t>四、国有土地使用权出让净收入</t>
  </si>
  <si>
    <t>含廉租房保障资金计提收入1000万元</t>
  </si>
  <si>
    <t>2024年城市基础设施配套费收支计划表</t>
  </si>
  <si>
    <t>项目名称</t>
  </si>
  <si>
    <t>计算说明</t>
  </si>
  <si>
    <t>一、上年结余</t>
  </si>
  <si>
    <t>二、本年收入</t>
  </si>
  <si>
    <t>三、本年支出</t>
  </si>
  <si>
    <t>1.城市基础设施建设维护与管理</t>
  </si>
  <si>
    <t>2.乡镇国土空间总体规划编制经费</t>
  </si>
  <si>
    <t>合同价590万元，已支付177万元，预计2024年支付236万元</t>
  </si>
  <si>
    <t>3.市国土空间总体规划编制经费</t>
  </si>
  <si>
    <t>合同价785万元，已支付503.7万元，预计2024年支付281.3万元</t>
  </si>
  <si>
    <t>4.国土空间规划城市体检评估经费</t>
  </si>
  <si>
    <t>省自然资源厅“各市（州）自然资源主管部门要结合“三区三线”划定成果及
市县级国土空间总体规划编制工作，组织市（州）本级及所辖县（市、区）同步开展 国土空间规划城市体检评估工作。”</t>
  </si>
  <si>
    <t>5.城市基础设施建设维护与管理支出</t>
  </si>
  <si>
    <t>根据市政府对冶城管文[2022]13号文件批示意见，建议2023年安排城市基础设施建设维护与管理项目资金2000万元</t>
  </si>
  <si>
    <t>6.城市环境卫生</t>
  </si>
  <si>
    <t>根据黄石市关于生活垃圾焚烧厂调整垃圾处理费问题的专题会议规定的标准（垃圾处理费63.28元/吨、餐厨垃圾处理费210元/吨、渗漏液150元/吨）和垃圾处理量预计资金需求800万元</t>
  </si>
  <si>
    <t>6.其他由配套费安排的支出</t>
  </si>
  <si>
    <t>与乡镇结算城市基础设施配套费</t>
  </si>
  <si>
    <t>四、年终结余</t>
  </si>
  <si>
    <t>2024年污水处理费收支计划表</t>
  </si>
  <si>
    <t>一、上年结转</t>
  </si>
  <si>
    <t>1.大冶市域内污水处理费</t>
  </si>
  <si>
    <t>水务集团征收</t>
  </si>
  <si>
    <t>2.铁山和下陆污水处理费</t>
  </si>
  <si>
    <t>城管局征收</t>
  </si>
  <si>
    <t>3.其他收入</t>
  </si>
  <si>
    <t>1.市城西北工业废水处理厂</t>
  </si>
  <si>
    <t>按保底水量及其基本单价计算，预计全年污水处理费3674万元。其中政府性基金列支2890万元，其余从一般公共预算中安排</t>
  </si>
  <si>
    <t>2.市城南污水处理厂</t>
  </si>
  <si>
    <t>按每月污水处理费140万元计算，全年预计1680万元</t>
  </si>
  <si>
    <t>3.代征手续费</t>
  </si>
  <si>
    <t>水务集团代征城区污水处理费4%手续费3900*4%=156万元，城管局征收铁山和下陆区污水处理费4%的手续费860*4%≈34万元，共计190万元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</si>
</sst>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2" formatCode="_ &quot;￥&quot;* #,##0_ ;_ &quot;￥&quot;* \-#,##0_ ;_ &quot;￥&quot;* &quot;-&quot;_ ;_ @_ "/>
    <numFmt numFmtId="44" formatCode="_ &quot;￥&quot;* #,##0.00_ ;_ &quot;￥&quot;* \-#,##0.00_ ;_ &quot;￥&quot;* &quot;-&quot;??_ ;_ @_ "/>
    <numFmt numFmtId="176" formatCode="_(* #,##0.00_);_(* \(#,##0.00\);_(* &quot;-&quot;??_);_(@_)"/>
    <numFmt numFmtId="177" formatCode="_(* #,##0_);_(* \(#,##0\);_(* &quot;-&quot;_);_(@_)"/>
    <numFmt numFmtId="178" formatCode="_ * #,##0_ ;_ * \-#,##0_ ;_ * &quot;-&quot;??_ ;_ @_ "/>
    <numFmt numFmtId="179" formatCode="0.00_ "/>
    <numFmt numFmtId="180" formatCode="#,##0_);[Red]\(#,##0\)"/>
    <numFmt numFmtId="181" formatCode="_ * #,##0.0_ ;_ * \-#,##0.0_ ;_ * &quot;-&quot;??_ ;_ @_ "/>
    <numFmt numFmtId="182" formatCode="_ * #,##0.0_ ;_ * \-#,##0.0_ ;_ * &quot;-&quot;??.0_ ;_ @_ "/>
  </numFmts>
  <fonts count="53">
    <font>
      <sz val="11"/>
      <color theme="1"/>
      <name val="等线"/>
      <charset val="134"/>
      <scheme val="minor"/>
    </font>
    <font>
      <sz val="14"/>
      <color theme="1"/>
      <name val="黑体"/>
      <charset val="134"/>
    </font>
    <font>
      <sz val="20"/>
      <color theme="1"/>
      <name val="方正小标宋简体"/>
      <charset val="134"/>
    </font>
    <font>
      <sz val="11"/>
      <color theme="1"/>
      <name val="楷体_GB2312"/>
      <charset val="134"/>
    </font>
    <font>
      <sz val="11"/>
      <color theme="1"/>
      <name val="黑体"/>
      <charset val="134"/>
    </font>
    <font>
      <sz val="11"/>
      <color theme="1"/>
      <name val="宋体"/>
      <charset val="134"/>
    </font>
    <font>
      <sz val="20"/>
      <color theme="1"/>
      <name val="方正公文小标宋"/>
      <charset val="134"/>
    </font>
    <font>
      <sz val="13"/>
      <color theme="1"/>
      <name val="楷体_GB2312"/>
      <charset val="134"/>
    </font>
    <font>
      <sz val="11"/>
      <color theme="1"/>
      <name val="Arial Narrow"/>
      <charset val="134"/>
    </font>
    <font>
      <sz val="10"/>
      <color indexed="8"/>
      <name val="宋体"/>
      <charset val="134"/>
    </font>
    <font>
      <sz val="11"/>
      <name val="宋体"/>
      <charset val="134"/>
    </font>
    <font>
      <b/>
      <sz val="11"/>
      <name val="宋体"/>
      <charset val="134"/>
    </font>
    <font>
      <sz val="10.5"/>
      <name val="宋体"/>
      <charset val="134"/>
    </font>
    <font>
      <sz val="10.5"/>
      <color indexed="8"/>
      <name val="宋体"/>
      <charset val="134"/>
    </font>
    <font>
      <sz val="10"/>
      <name val="宋体"/>
      <charset val="134"/>
    </font>
    <font>
      <b/>
      <sz val="20"/>
      <color theme="1"/>
      <name val="方正小标宋_GBK"/>
      <charset val="134"/>
    </font>
    <font>
      <sz val="20"/>
      <color theme="1"/>
      <name val="方正小标宋_GBK"/>
      <charset val="134"/>
    </font>
    <font>
      <sz val="11"/>
      <color theme="1"/>
      <name val="Arial Narrow"/>
      <charset val="0"/>
    </font>
    <font>
      <b/>
      <sz val="11"/>
      <color theme="1"/>
      <name val="宋体"/>
      <charset val="134"/>
    </font>
    <font>
      <sz val="10.5"/>
      <color theme="1"/>
      <name val="宋体"/>
      <charset val="134"/>
    </font>
    <font>
      <sz val="10"/>
      <color theme="1"/>
      <name val="宋体"/>
      <charset val="134"/>
    </font>
    <font>
      <b/>
      <sz val="11"/>
      <color theme="1"/>
      <name val="Arial Narrow"/>
      <charset val="134"/>
    </font>
    <font>
      <b/>
      <sz val="11"/>
      <color theme="1"/>
      <name val="等线"/>
      <charset val="134"/>
      <scheme val="minor"/>
    </font>
    <font>
      <sz val="11"/>
      <name val="Arial Narrow"/>
      <charset val="134"/>
    </font>
    <font>
      <sz val="12"/>
      <color theme="1"/>
      <name val="Arial Narrow"/>
      <charset val="134"/>
    </font>
    <font>
      <sz val="11"/>
      <color indexed="8"/>
      <name val="Arial Narrow"/>
      <charset val="134"/>
    </font>
    <font>
      <b/>
      <sz val="11"/>
      <name val="Arial Narrow"/>
      <charset val="134"/>
    </font>
    <font>
      <sz val="9"/>
      <color theme="1"/>
      <name val="宋体"/>
      <charset val="134"/>
    </font>
    <font>
      <b/>
      <sz val="12.5"/>
      <color theme="1"/>
      <name val="宋体"/>
      <charset val="134"/>
    </font>
    <font>
      <sz val="12.5"/>
      <color theme="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sz val="11"/>
      <color indexed="8"/>
      <name val="宋体"/>
      <charset val="134"/>
    </font>
    <font>
      <b/>
      <sz val="9"/>
      <name val="宋体"/>
      <charset val="134"/>
    </font>
    <font>
      <sz val="9"/>
      <name val="宋体"/>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double">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176"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4" borderId="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5" applyNumberFormat="0" applyFill="0" applyAlignment="0" applyProtection="0">
      <alignment vertical="center"/>
    </xf>
    <xf numFmtId="0" fontId="36" fillId="0" borderId="5" applyNumberFormat="0" applyFill="0" applyAlignment="0" applyProtection="0">
      <alignment vertical="center"/>
    </xf>
    <xf numFmtId="0" fontId="37" fillId="0" borderId="6" applyNumberFormat="0" applyFill="0" applyAlignment="0" applyProtection="0">
      <alignment vertical="center"/>
    </xf>
    <xf numFmtId="0" fontId="37" fillId="0" borderId="0" applyNumberFormat="0" applyFill="0" applyBorder="0" applyAlignment="0" applyProtection="0">
      <alignment vertical="center"/>
    </xf>
    <xf numFmtId="0" fontId="38" fillId="5" borderId="7" applyNumberFormat="0" applyAlignment="0" applyProtection="0">
      <alignment vertical="center"/>
    </xf>
    <xf numFmtId="0" fontId="39" fillId="6" borderId="8" applyNumberFormat="0" applyAlignment="0" applyProtection="0">
      <alignment vertical="center"/>
    </xf>
    <xf numFmtId="0" fontId="40" fillId="6" borderId="7" applyNumberFormat="0" applyAlignment="0" applyProtection="0">
      <alignment vertical="center"/>
    </xf>
    <xf numFmtId="0" fontId="41" fillId="7" borderId="9" applyNumberFormat="0" applyAlignment="0" applyProtection="0">
      <alignment vertical="center"/>
    </xf>
    <xf numFmtId="0" fontId="42" fillId="0" borderId="10" applyNumberFormat="0" applyFill="0" applyAlignment="0" applyProtection="0">
      <alignment vertical="center"/>
    </xf>
    <xf numFmtId="0" fontId="43" fillId="0" borderId="11" applyNumberFormat="0" applyFill="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7" fillId="34" borderId="0" applyNumberFormat="0" applyBorder="0" applyAlignment="0" applyProtection="0">
      <alignment vertical="center"/>
    </xf>
    <xf numFmtId="0" fontId="49" fillId="0" borderId="0"/>
    <xf numFmtId="176" fontId="49" fillId="0" borderId="0" applyFont="0" applyFill="0" applyBorder="0" applyAlignment="0" applyProtection="0"/>
    <xf numFmtId="0" fontId="0" fillId="0" borderId="0">
      <alignment vertical="center"/>
    </xf>
    <xf numFmtId="0" fontId="0" fillId="0" borderId="0">
      <alignment vertical="center"/>
    </xf>
    <xf numFmtId="0" fontId="50" fillId="0" borderId="0">
      <alignment vertical="center"/>
    </xf>
    <xf numFmtId="176" fontId="0" fillId="0" borderId="0" applyFont="0" applyFill="0" applyBorder="0" applyAlignment="0" applyProtection="0">
      <alignment vertical="center"/>
    </xf>
    <xf numFmtId="0" fontId="49" fillId="0" borderId="0"/>
  </cellStyleXfs>
  <cellXfs count="108">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5" fillId="0" borderId="0" xfId="0" applyFont="1" applyFill="1">
      <alignment vertical="center"/>
    </xf>
    <xf numFmtId="0" fontId="0" fillId="0" borderId="0" xfId="0" applyAlignment="1">
      <alignment vertical="center" wrapText="1"/>
    </xf>
    <xf numFmtId="0" fontId="1" fillId="0" borderId="0" xfId="0" applyFont="1" applyAlignment="1">
      <alignment vertical="center" wrapText="1"/>
    </xf>
    <xf numFmtId="0" fontId="6" fillId="0" borderId="0" xfId="0" applyFont="1" applyAlignment="1">
      <alignment horizontal="center" vertical="center"/>
    </xf>
    <xf numFmtId="0" fontId="7" fillId="0" borderId="0" xfId="0" applyFont="1" applyAlignment="1">
      <alignment horizontal="righ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lignment vertical="center"/>
    </xf>
    <xf numFmtId="178" fontId="8" fillId="0" borderId="1" xfId="1" applyNumberFormat="1" applyFont="1" applyBorder="1">
      <alignment vertical="center"/>
    </xf>
    <xf numFmtId="0" fontId="5" fillId="0" borderId="1" xfId="0" applyFont="1" applyBorder="1" applyAlignment="1">
      <alignment vertical="center" wrapText="1"/>
    </xf>
    <xf numFmtId="0" fontId="5" fillId="0" borderId="1" xfId="0" applyFont="1" applyBorder="1" applyAlignment="1">
      <alignment horizontal="left" vertical="center" indent="2"/>
    </xf>
    <xf numFmtId="0" fontId="5" fillId="0" borderId="1" xfId="0" applyFont="1" applyBorder="1" applyAlignment="1">
      <alignment vertical="center" shrinkToFit="1"/>
    </xf>
    <xf numFmtId="0" fontId="5" fillId="0" borderId="1" xfId="0" applyFont="1" applyFill="1" applyBorder="1" applyAlignment="1">
      <alignment horizontal="left" vertical="center" indent="2"/>
    </xf>
    <xf numFmtId="178" fontId="8" fillId="0" borderId="1" xfId="1" applyNumberFormat="1" applyFont="1" applyFill="1" applyBorder="1">
      <alignment vertical="center"/>
    </xf>
    <xf numFmtId="0" fontId="9" fillId="0" borderId="1" xfId="53" applyFont="1" applyFill="1" applyBorder="1" applyAlignment="1">
      <alignment horizontal="left" vertical="center" wrapText="1"/>
    </xf>
    <xf numFmtId="0" fontId="5" fillId="0" borderId="1" xfId="0" applyFont="1" applyFill="1" applyBorder="1">
      <alignment vertical="center"/>
    </xf>
    <xf numFmtId="0" fontId="9" fillId="2" borderId="1" xfId="53" applyFont="1" applyFill="1" applyBorder="1" applyAlignment="1">
      <alignment horizontal="left" vertical="center" wrapText="1"/>
    </xf>
    <xf numFmtId="0" fontId="5" fillId="0" borderId="0" xfId="0" applyFont="1" applyAlignment="1">
      <alignment vertical="center" wrapText="1"/>
    </xf>
    <xf numFmtId="0" fontId="0" fillId="0" borderId="0" xfId="0" applyAlignment="1">
      <alignment vertical="center" shrinkToFit="1"/>
    </xf>
    <xf numFmtId="0" fontId="1" fillId="0" borderId="0" xfId="0" applyFont="1" applyAlignment="1">
      <alignment vertical="center" shrinkToFit="1"/>
    </xf>
    <xf numFmtId="0" fontId="7" fillId="0" borderId="0" xfId="0" applyFont="1" applyAlignment="1">
      <alignment horizontal="right" vertical="center" shrinkToFit="1"/>
    </xf>
    <xf numFmtId="0" fontId="4" fillId="0" borderId="1" xfId="0" applyFont="1" applyBorder="1" applyAlignment="1">
      <alignment horizontal="center" vertical="center" shrinkToFit="1"/>
    </xf>
    <xf numFmtId="0" fontId="10" fillId="0" borderId="1" xfId="0" applyFont="1" applyBorder="1" applyAlignment="1">
      <alignment horizontal="left" vertical="center" wrapText="1"/>
    </xf>
    <xf numFmtId="177" fontId="10" fillId="0" borderId="1" xfId="4" applyFont="1" applyFill="1" applyBorder="1" applyAlignment="1">
      <alignment horizontal="right" vertical="center"/>
    </xf>
    <xf numFmtId="177" fontId="11" fillId="0" borderId="1" xfId="4" applyFont="1" applyBorder="1" applyAlignment="1">
      <alignment horizontal="center" vertical="center" shrinkToFit="1"/>
    </xf>
    <xf numFmtId="0" fontId="10" fillId="0" borderId="1" xfId="0" applyFont="1" applyBorder="1" applyAlignment="1">
      <alignment horizontal="left" vertical="center"/>
    </xf>
    <xf numFmtId="0" fontId="10" fillId="0" borderId="1" xfId="0" applyFont="1" applyBorder="1" applyAlignment="1">
      <alignment horizontal="center" vertical="center" shrinkToFit="1"/>
    </xf>
    <xf numFmtId="177" fontId="10" fillId="0" borderId="1" xfId="4" applyFont="1" applyFill="1" applyBorder="1" applyAlignment="1">
      <alignment horizontal="center" vertical="center" shrinkToFit="1"/>
    </xf>
    <xf numFmtId="179" fontId="12" fillId="0" borderId="1" xfId="0" applyNumberFormat="1" applyFont="1" applyBorder="1" applyAlignment="1">
      <alignment horizontal="left" vertical="center" indent="2"/>
    </xf>
    <xf numFmtId="177" fontId="10" fillId="0" borderId="1" xfId="4" applyFont="1" applyFill="1" applyBorder="1" applyAlignment="1">
      <alignment horizontal="left" vertical="center" shrinkToFit="1"/>
    </xf>
    <xf numFmtId="0" fontId="9" fillId="2" borderId="1" xfId="53" applyFont="1" applyFill="1" applyBorder="1" applyAlignment="1">
      <alignment horizontal="left" vertical="center" wrapText="1" indent="2"/>
    </xf>
    <xf numFmtId="0" fontId="13" fillId="2" borderId="1" xfId="53" applyFont="1" applyFill="1" applyBorder="1" applyAlignment="1">
      <alignment horizontal="left" vertical="center" wrapText="1" indent="2"/>
    </xf>
    <xf numFmtId="0" fontId="10" fillId="0" borderId="1" xfId="0" applyFont="1" applyBorder="1" applyAlignment="1">
      <alignment horizontal="justify" vertical="center" wrapText="1"/>
    </xf>
    <xf numFmtId="177" fontId="14" fillId="0" borderId="1" xfId="4" applyFont="1" applyFill="1" applyBorder="1" applyAlignment="1">
      <alignment horizontal="center" vertical="center" shrinkToFit="1"/>
    </xf>
    <xf numFmtId="0" fontId="2" fillId="0" borderId="0" xfId="0" applyFont="1" applyAlignment="1">
      <alignment vertical="center"/>
    </xf>
    <xf numFmtId="0" fontId="15" fillId="0" borderId="0" xfId="0" applyFont="1">
      <alignment vertical="center"/>
    </xf>
    <xf numFmtId="0" fontId="7" fillId="0" borderId="0" xfId="0" applyFont="1">
      <alignment vertical="center"/>
    </xf>
    <xf numFmtId="0" fontId="16" fillId="0" borderId="0" xfId="0" applyFont="1" applyAlignment="1">
      <alignment horizontal="center" vertical="center"/>
    </xf>
    <xf numFmtId="0" fontId="0" fillId="0" borderId="1" xfId="0" applyBorder="1">
      <alignment vertical="center"/>
    </xf>
    <xf numFmtId="180" fontId="17" fillId="0" borderId="1" xfId="1" applyNumberFormat="1" applyFont="1" applyFill="1" applyBorder="1">
      <alignment vertical="center"/>
    </xf>
    <xf numFmtId="178" fontId="17" fillId="0" borderId="1" xfId="1" applyNumberFormat="1" applyFont="1" applyFill="1" applyBorder="1">
      <alignment vertical="center"/>
    </xf>
    <xf numFmtId="0" fontId="0" fillId="0" borderId="1" xfId="0" applyFill="1" applyBorder="1">
      <alignment vertical="center"/>
    </xf>
    <xf numFmtId="0" fontId="4" fillId="0" borderId="0" xfId="0" applyFont="1">
      <alignment vertical="center"/>
    </xf>
    <xf numFmtId="0" fontId="18" fillId="0" borderId="0" xfId="0" applyFont="1">
      <alignment vertical="center"/>
    </xf>
    <xf numFmtId="0" fontId="2" fillId="0" borderId="0" xfId="0" applyFont="1" applyAlignment="1">
      <alignment horizontal="center" vertical="center"/>
    </xf>
    <xf numFmtId="0" fontId="3" fillId="0" borderId="0" xfId="0" applyFont="1" applyAlignment="1">
      <alignment horizontal="righ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wrapText="1"/>
    </xf>
    <xf numFmtId="178" fontId="8" fillId="0" borderId="1" xfId="0" applyNumberFormat="1" applyFont="1" applyBorder="1" applyAlignment="1">
      <alignment horizontal="center" vertical="center" wrapText="1"/>
    </xf>
    <xf numFmtId="178" fontId="8" fillId="0" borderId="2" xfId="0" applyNumberFormat="1" applyFont="1" applyBorder="1" applyAlignment="1">
      <alignment horizontal="center" vertical="center" wrapText="1"/>
    </xf>
    <xf numFmtId="0" fontId="5" fillId="0" borderId="3" xfId="0" applyFont="1" applyBorder="1">
      <alignment vertical="center"/>
    </xf>
    <xf numFmtId="178" fontId="8" fillId="0" borderId="2" xfId="1" applyNumberFormat="1" applyFont="1" applyBorder="1">
      <alignment vertical="center"/>
    </xf>
    <xf numFmtId="0" fontId="5" fillId="0" borderId="3" xfId="0" applyFont="1" applyBorder="1" applyAlignment="1">
      <alignment horizontal="left" vertical="center" indent="2"/>
    </xf>
    <xf numFmtId="0" fontId="19" fillId="0" borderId="3" xfId="0" applyFont="1" applyBorder="1" applyAlignment="1">
      <alignment horizontal="left" vertical="center" indent="4"/>
    </xf>
    <xf numFmtId="0" fontId="5" fillId="0" borderId="3" xfId="0" applyFont="1" applyBorder="1" applyAlignment="1">
      <alignment horizontal="left" vertical="center" indent="4"/>
    </xf>
    <xf numFmtId="0" fontId="20" fillId="0" borderId="1" xfId="0" applyFont="1" applyBorder="1" applyAlignment="1">
      <alignment horizontal="left" vertical="center" indent="2"/>
    </xf>
    <xf numFmtId="178" fontId="8" fillId="3" borderId="1" xfId="1" applyNumberFormat="1" applyFont="1" applyFill="1" applyBorder="1">
      <alignment vertical="center"/>
    </xf>
    <xf numFmtId="0" fontId="5" fillId="0" borderId="3" xfId="0" applyFont="1" applyBorder="1" applyAlignment="1">
      <alignment horizontal="left" vertical="center" indent="3"/>
    </xf>
    <xf numFmtId="0" fontId="8" fillId="0" borderId="1" xfId="0" applyFont="1" applyBorder="1">
      <alignment vertical="center"/>
    </xf>
    <xf numFmtId="0" fontId="0" fillId="0" borderId="3" xfId="0" applyBorder="1" applyAlignment="1">
      <alignment horizontal="left" vertical="center" indent="2"/>
    </xf>
    <xf numFmtId="0" fontId="18" fillId="0" borderId="1" xfId="0" applyFont="1" applyBorder="1" applyAlignment="1">
      <alignment horizontal="center" vertical="center"/>
    </xf>
    <xf numFmtId="178" fontId="21" fillId="0" borderId="1" xfId="1" applyNumberFormat="1" applyFont="1" applyBorder="1">
      <alignment vertical="center"/>
    </xf>
    <xf numFmtId="178" fontId="21" fillId="0" borderId="2" xfId="1" applyNumberFormat="1" applyFont="1" applyBorder="1">
      <alignment vertical="center"/>
    </xf>
    <xf numFmtId="0" fontId="18" fillId="0" borderId="3" xfId="0" applyFont="1" applyBorder="1" applyAlignment="1">
      <alignment horizontal="center" vertical="center"/>
    </xf>
    <xf numFmtId="0" fontId="0" fillId="0" borderId="1" xfId="0" applyBorder="1" applyAlignment="1">
      <alignment horizontal="center" vertical="center" wrapText="1"/>
    </xf>
    <xf numFmtId="0" fontId="19" fillId="0" borderId="3" xfId="0" applyFont="1" applyBorder="1" applyAlignment="1">
      <alignment horizontal="left" vertical="center" indent="2" shrinkToFit="1"/>
    </xf>
    <xf numFmtId="0" fontId="19" fillId="0" borderId="3" xfId="0" applyFont="1" applyBorder="1" applyAlignment="1">
      <alignment horizontal="left" vertical="center" indent="2"/>
    </xf>
    <xf numFmtId="0" fontId="5" fillId="0" borderId="3" xfId="0" applyFont="1" applyBorder="1" applyAlignment="1">
      <alignment horizontal="left" vertical="center" indent="2" shrinkToFit="1"/>
    </xf>
    <xf numFmtId="178" fontId="8" fillId="0" borderId="1" xfId="0" applyNumberFormat="1" applyFont="1" applyFill="1" applyBorder="1" applyAlignment="1">
      <alignment horizontal="center" vertical="center" wrapText="1"/>
    </xf>
    <xf numFmtId="178" fontId="21" fillId="0" borderId="1" xfId="1" applyNumberFormat="1" applyFont="1" applyFill="1" applyBorder="1">
      <alignment vertical="center"/>
    </xf>
    <xf numFmtId="178" fontId="0" fillId="0" borderId="0" xfId="0" applyNumberFormat="1">
      <alignment vertical="center"/>
    </xf>
    <xf numFmtId="0" fontId="18" fillId="0" borderId="0" xfId="0" applyFont="1" applyAlignment="1">
      <alignment horizontal="left" vertical="center"/>
    </xf>
    <xf numFmtId="0" fontId="22" fillId="0" borderId="0" xfId="0" applyFont="1">
      <alignment vertical="center"/>
    </xf>
    <xf numFmtId="0" fontId="8" fillId="0" borderId="0" xfId="0" applyFont="1">
      <alignment vertical="center"/>
    </xf>
    <xf numFmtId="181" fontId="21" fillId="0" borderId="1" xfId="1" applyNumberFormat="1" applyFont="1" applyBorder="1" applyAlignment="1">
      <alignment horizontal="left" vertical="center"/>
    </xf>
    <xf numFmtId="0" fontId="18" fillId="0" borderId="1" xfId="0" applyFont="1" applyBorder="1" applyAlignment="1">
      <alignment horizontal="left" vertical="center"/>
    </xf>
    <xf numFmtId="181" fontId="21" fillId="0" borderId="1" xfId="1" applyNumberFormat="1" applyFont="1" applyBorder="1">
      <alignment vertical="center"/>
    </xf>
    <xf numFmtId="180" fontId="23" fillId="0" borderId="1" xfId="50" applyNumberFormat="1" applyFont="1" applyFill="1" applyBorder="1" applyAlignment="1" applyProtection="1">
      <alignment horizontal="right" vertical="center" wrapText="1"/>
    </xf>
    <xf numFmtId="181" fontId="8" fillId="0" borderId="1" xfId="1" applyNumberFormat="1" applyFont="1" applyBorder="1">
      <alignment vertical="center"/>
    </xf>
    <xf numFmtId="178" fontId="23" fillId="0" borderId="1" xfId="1" applyNumberFormat="1" applyFont="1" applyFill="1" applyBorder="1">
      <alignment vertical="center"/>
    </xf>
    <xf numFmtId="178" fontId="24" fillId="0" borderId="1" xfId="54" applyNumberFormat="1" applyFont="1" applyFill="1" applyBorder="1" applyAlignment="1">
      <alignment vertical="center"/>
    </xf>
    <xf numFmtId="0" fontId="5" fillId="0" borderId="1" xfId="0" applyFont="1" applyBorder="1" applyAlignment="1">
      <alignment horizontal="left" vertical="center" indent="4"/>
    </xf>
    <xf numFmtId="0" fontId="5" fillId="0" borderId="1" xfId="0" applyFont="1" applyBorder="1" applyAlignment="1">
      <alignment horizontal="left" vertical="center" indent="4" shrinkToFit="1"/>
    </xf>
    <xf numFmtId="0" fontId="5" fillId="0" borderId="1" xfId="0" applyFont="1" applyBorder="1" applyAlignment="1">
      <alignment horizontal="left" vertical="center" indent="2" shrinkToFit="1"/>
    </xf>
    <xf numFmtId="180" fontId="25" fillId="0" borderId="1" xfId="50" applyNumberFormat="1" applyFont="1" applyFill="1" applyBorder="1" applyAlignment="1" applyProtection="1">
      <alignment horizontal="right" vertical="center" wrapText="1"/>
    </xf>
    <xf numFmtId="180" fontId="26" fillId="0" borderId="1" xfId="50" applyNumberFormat="1" applyFont="1" applyFill="1" applyBorder="1" applyAlignment="1" applyProtection="1">
      <alignment horizontal="right" vertical="center" wrapText="1"/>
    </xf>
    <xf numFmtId="0" fontId="0" fillId="0" borderId="0" xfId="0" applyAlignment="1">
      <alignment horizontal="center" vertical="center"/>
    </xf>
    <xf numFmtId="0" fontId="22" fillId="0" borderId="0" xfId="0" applyFont="1" applyAlignment="1">
      <alignment horizontal="center" vertical="center"/>
    </xf>
    <xf numFmtId="0" fontId="0" fillId="0" borderId="1" xfId="0" applyBorder="1" applyAlignment="1">
      <alignment horizontal="center" vertical="center"/>
    </xf>
    <xf numFmtId="178" fontId="21" fillId="0" borderId="1" xfId="1" applyNumberFormat="1" applyFont="1" applyBorder="1" applyAlignment="1">
      <alignment vertical="center"/>
    </xf>
    <xf numFmtId="178" fontId="21" fillId="0" borderId="1" xfId="1" applyNumberFormat="1" applyFont="1" applyFill="1" applyBorder="1" applyAlignment="1">
      <alignment vertical="center"/>
    </xf>
    <xf numFmtId="181" fontId="21" fillId="0" borderId="1" xfId="1" applyNumberFormat="1" applyFont="1" applyBorder="1" applyAlignment="1">
      <alignment vertical="center" wrapText="1"/>
    </xf>
    <xf numFmtId="0" fontId="22" fillId="0" borderId="1" xfId="0" applyFont="1" applyBorder="1" applyAlignment="1">
      <alignment vertical="center" wrapText="1"/>
    </xf>
    <xf numFmtId="0" fontId="22" fillId="0" borderId="1" xfId="0" applyFont="1" applyFill="1" applyBorder="1" applyAlignment="1">
      <alignment vertical="center" wrapText="1"/>
    </xf>
    <xf numFmtId="178" fontId="8" fillId="0" borderId="1" xfId="1" applyNumberFormat="1" applyFont="1" applyBorder="1" applyAlignment="1">
      <alignment vertical="center"/>
    </xf>
    <xf numFmtId="178" fontId="8" fillId="0" borderId="1" xfId="1" applyNumberFormat="1" applyFont="1" applyFill="1" applyBorder="1" applyAlignment="1">
      <alignment vertical="center"/>
    </xf>
    <xf numFmtId="182" fontId="8" fillId="0" borderId="1" xfId="1" applyNumberFormat="1" applyFont="1" applyBorder="1" applyAlignment="1">
      <alignment vertical="center"/>
    </xf>
    <xf numFmtId="0" fontId="27" fillId="0" borderId="1" xfId="0" applyFont="1" applyBorder="1" applyAlignment="1">
      <alignment horizontal="left" vertical="center" indent="1" shrinkToFit="1"/>
    </xf>
    <xf numFmtId="0" fontId="28" fillId="0" borderId="0" xfId="0" applyFont="1" applyAlignment="1">
      <alignment horizontal="center" vertical="center"/>
    </xf>
    <xf numFmtId="0" fontId="29" fillId="0" borderId="0" xfId="0" applyFont="1" applyAlignment="1">
      <alignment horizontal="center" vertical="center"/>
    </xf>
    <xf numFmtId="0" fontId="29" fillId="0" borderId="0" xfId="0" applyFont="1">
      <alignment vertical="center"/>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2 2 2" xfId="49"/>
    <cellStyle name="千位分隔 4 2" xfId="50"/>
    <cellStyle name="常规 48" xfId="51"/>
    <cellStyle name="常规 2" xfId="52"/>
    <cellStyle name="常规 21 3" xfId="53"/>
    <cellStyle name="千位分隔 2" xfId="54"/>
    <cellStyle name="常规 3"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9"/>
  <sheetViews>
    <sheetView workbookViewId="0">
      <selection activeCell="F16" sqref="F16"/>
    </sheetView>
  </sheetViews>
  <sheetFormatPr defaultColWidth="9" defaultRowHeight="15" outlineLevelCol="2"/>
  <cols>
    <col min="1" max="1" width="6.125" style="106" customWidth="1"/>
    <col min="2" max="2" width="57.125" style="107" customWidth="1"/>
    <col min="3" max="16384" width="9" style="107"/>
  </cols>
  <sheetData>
    <row r="1" spans="1:3">
      <c r="A1" s="105" t="s">
        <v>0</v>
      </c>
      <c r="B1" s="105"/>
      <c r="C1" s="105"/>
    </row>
    <row r="2" s="105" customFormat="1" ht="20.1" customHeight="1" spans="1:3">
      <c r="A2" s="105" t="s">
        <v>1</v>
      </c>
      <c r="B2" s="105" t="s">
        <v>2</v>
      </c>
      <c r="C2" s="105" t="s">
        <v>3</v>
      </c>
    </row>
    <row r="3" ht="20.1" customHeight="1" spans="1:2">
      <c r="A3" s="106" t="s">
        <v>4</v>
      </c>
      <c r="B3" s="107" t="s">
        <v>5</v>
      </c>
    </row>
    <row r="4" ht="20.1" customHeight="1" spans="1:2">
      <c r="A4" s="106" t="s">
        <v>6</v>
      </c>
      <c r="B4" s="107" t="s">
        <v>7</v>
      </c>
    </row>
    <row r="5" ht="20.1" customHeight="1" spans="1:2">
      <c r="A5" s="106" t="s">
        <v>8</v>
      </c>
      <c r="B5" s="107" t="s">
        <v>9</v>
      </c>
    </row>
    <row r="6" ht="20.1" customHeight="1" spans="1:2">
      <c r="A6" s="106" t="s">
        <v>10</v>
      </c>
      <c r="B6" s="107" t="s">
        <v>11</v>
      </c>
    </row>
    <row r="7" ht="20.1" customHeight="1" spans="1:2">
      <c r="A7" s="106" t="s">
        <v>12</v>
      </c>
      <c r="B7" s="107" t="s">
        <v>13</v>
      </c>
    </row>
    <row r="8" ht="20.1" customHeight="1" spans="1:2">
      <c r="A8" s="106" t="s">
        <v>14</v>
      </c>
      <c r="B8" s="107" t="s">
        <v>15</v>
      </c>
    </row>
    <row r="9" ht="20.1" customHeight="1" spans="1:2">
      <c r="A9" s="106" t="s">
        <v>16</v>
      </c>
      <c r="B9" s="107" t="s">
        <v>17</v>
      </c>
    </row>
  </sheetData>
  <mergeCells count="1">
    <mergeCell ref="A1:C1"/>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
  <sheetViews>
    <sheetView workbookViewId="0">
      <selection activeCell="A2" sqref="A2:E2"/>
    </sheetView>
  </sheetViews>
  <sheetFormatPr defaultColWidth="9" defaultRowHeight="14.25" outlineLevelCol="4"/>
  <cols>
    <col min="1" max="1" width="37.625" customWidth="1"/>
    <col min="2" max="2" width="11.625" customWidth="1"/>
    <col min="3" max="3" width="11.125" customWidth="1"/>
    <col min="4" max="4" width="10.875" customWidth="1"/>
    <col min="5" max="5" width="8.125" customWidth="1"/>
  </cols>
  <sheetData>
    <row r="1" s="1" customFormat="1" ht="24.95" customHeight="1" spans="1:1">
      <c r="A1" s="1" t="s">
        <v>4</v>
      </c>
    </row>
    <row r="2" s="2" customFormat="1" ht="45" customHeight="1" spans="1:5">
      <c r="A2" s="50" t="s">
        <v>18</v>
      </c>
      <c r="B2" s="50"/>
      <c r="C2" s="50"/>
      <c r="D2" s="50"/>
      <c r="E2" s="50"/>
    </row>
    <row r="3" s="3" customFormat="1" ht="24.95" customHeight="1" spans="4:5">
      <c r="D3" s="10" t="s">
        <v>19</v>
      </c>
      <c r="E3" s="10"/>
    </row>
    <row r="4" s="93" customFormat="1" ht="39.95" customHeight="1" spans="1:5">
      <c r="A4" s="95" t="s">
        <v>20</v>
      </c>
      <c r="B4" s="71" t="s">
        <v>21</v>
      </c>
      <c r="C4" s="71" t="s">
        <v>22</v>
      </c>
      <c r="D4" s="71" t="s">
        <v>23</v>
      </c>
      <c r="E4" s="71" t="s">
        <v>24</v>
      </c>
    </row>
    <row r="5" s="94" customFormat="1" ht="24.95" customHeight="1" spans="1:5">
      <c r="A5" s="67" t="s">
        <v>25</v>
      </c>
      <c r="B5" s="96">
        <f>SUM(B6:B10,B16:B19)</f>
        <v>621303</v>
      </c>
      <c r="C5" s="97">
        <f>SUM(C6:C10,C16:C19)</f>
        <v>360708.596248</v>
      </c>
      <c r="D5" s="96">
        <f>SUM(D6:D10,D16:D19)</f>
        <v>561884</v>
      </c>
      <c r="E5" s="98">
        <f>ROUND((D5/C5-1)*100,1)</f>
        <v>55.8</v>
      </c>
    </row>
    <row r="6" ht="24.95" customHeight="1" spans="1:5">
      <c r="A6" s="13" t="s">
        <v>26</v>
      </c>
      <c r="B6" s="99"/>
      <c r="C6" s="100"/>
      <c r="D6" s="99"/>
      <c r="E6" s="98"/>
    </row>
    <row r="7" ht="24.95" customHeight="1" spans="1:5">
      <c r="A7" s="13" t="s">
        <v>27</v>
      </c>
      <c r="B7" s="101"/>
      <c r="C7" s="102"/>
      <c r="D7" s="101"/>
      <c r="E7" s="98"/>
    </row>
    <row r="8" ht="24.95" customHeight="1" spans="1:5">
      <c r="A8" s="13" t="s">
        <v>28</v>
      </c>
      <c r="B8" s="101">
        <v>21300</v>
      </c>
      <c r="C8" s="101">
        <v>10023.44</v>
      </c>
      <c r="D8" s="101">
        <v>16300</v>
      </c>
      <c r="E8" s="103"/>
    </row>
    <row r="9" ht="24.95" customHeight="1" spans="1:5">
      <c r="A9" s="13" t="s">
        <v>29</v>
      </c>
      <c r="B9" s="101">
        <v>2400</v>
      </c>
      <c r="C9" s="101">
        <v>1584.83</v>
      </c>
      <c r="D9" s="101">
        <v>2250</v>
      </c>
      <c r="E9" s="103"/>
    </row>
    <row r="10" ht="24.95" customHeight="1" spans="1:5">
      <c r="A10" s="13" t="s">
        <v>30</v>
      </c>
      <c r="B10" s="101">
        <f>B11+B12+B13+B14+B15</f>
        <v>570982</v>
      </c>
      <c r="C10" s="101">
        <f>SUM(C11:C15)</f>
        <v>324256.326248</v>
      </c>
      <c r="D10" s="101">
        <f>D11+D12+D13+D14+D15</f>
        <v>514100</v>
      </c>
      <c r="E10" s="103">
        <f t="shared" ref="E10:E24" si="0">ROUND((D10/C10-1)*100,1)</f>
        <v>58.5</v>
      </c>
    </row>
    <row r="11" ht="24.95" customHeight="1" spans="1:5">
      <c r="A11" s="16" t="s">
        <v>31</v>
      </c>
      <c r="B11" s="101">
        <v>578982</v>
      </c>
      <c r="C11" s="101">
        <v>319813.163548</v>
      </c>
      <c r="D11" s="101">
        <f>496815</f>
        <v>496815</v>
      </c>
      <c r="E11" s="103">
        <f t="shared" si="0"/>
        <v>55.3</v>
      </c>
    </row>
    <row r="12" ht="24.95" customHeight="1" spans="1:5">
      <c r="A12" s="16" t="s">
        <v>32</v>
      </c>
      <c r="B12" s="101"/>
      <c r="C12" s="101">
        <v>11744.1627</v>
      </c>
      <c r="D12" s="101">
        <v>26285</v>
      </c>
      <c r="E12" s="103">
        <f t="shared" si="0"/>
        <v>123.8</v>
      </c>
    </row>
    <row r="13" ht="24.95" customHeight="1" spans="1:5">
      <c r="A13" s="16" t="s">
        <v>33</v>
      </c>
      <c r="B13" s="101"/>
      <c r="C13" s="101"/>
      <c r="D13" s="101"/>
      <c r="E13" s="103"/>
    </row>
    <row r="14" ht="24.95" customHeight="1" spans="1:5">
      <c r="A14" s="16" t="s">
        <v>34</v>
      </c>
      <c r="B14" s="101">
        <v>-9000</v>
      </c>
      <c r="C14" s="101">
        <v>-7301</v>
      </c>
      <c r="D14" s="101">
        <v>-10000</v>
      </c>
      <c r="E14" s="103">
        <f t="shared" si="0"/>
        <v>37</v>
      </c>
    </row>
    <row r="15" ht="24.95" customHeight="1" spans="1:5">
      <c r="A15" s="16" t="s">
        <v>35</v>
      </c>
      <c r="B15" s="101">
        <v>1000</v>
      </c>
      <c r="C15" s="101"/>
      <c r="D15" s="101">
        <v>1000</v>
      </c>
      <c r="E15" s="103"/>
    </row>
    <row r="16" ht="24.95" customHeight="1" spans="1:5">
      <c r="A16" s="13" t="s">
        <v>36</v>
      </c>
      <c r="B16" s="101">
        <v>4000</v>
      </c>
      <c r="C16" s="101">
        <v>3883</v>
      </c>
      <c r="D16" s="101">
        <v>3500</v>
      </c>
      <c r="E16" s="103">
        <f t="shared" si="0"/>
        <v>-9.9</v>
      </c>
    </row>
    <row r="17" ht="24.95" customHeight="1" spans="1:5">
      <c r="A17" s="13" t="s">
        <v>37</v>
      </c>
      <c r="B17" s="101">
        <v>7000</v>
      </c>
      <c r="C17" s="101">
        <v>7456</v>
      </c>
      <c r="D17" s="101">
        <v>4760</v>
      </c>
      <c r="E17" s="103">
        <f t="shared" si="0"/>
        <v>-36.2</v>
      </c>
    </row>
    <row r="18" ht="24.95" customHeight="1" spans="1:5">
      <c r="A18" s="13" t="s">
        <v>38</v>
      </c>
      <c r="B18" s="101"/>
      <c r="C18" s="101"/>
      <c r="D18" s="101"/>
      <c r="E18" s="103"/>
    </row>
    <row r="19" ht="24.95" customHeight="1" spans="1:5">
      <c r="A19" s="13" t="s">
        <v>39</v>
      </c>
      <c r="B19" s="101">
        <f>SUM(B20:B24)</f>
        <v>15621</v>
      </c>
      <c r="C19" s="101">
        <f>12216+1289</f>
        <v>13505</v>
      </c>
      <c r="D19" s="101">
        <f>SUM(D20:D24)</f>
        <v>20974</v>
      </c>
      <c r="E19" s="103">
        <f t="shared" si="0"/>
        <v>55.3</v>
      </c>
    </row>
    <row r="20" ht="24.95" customHeight="1" spans="1:5">
      <c r="A20" s="104" t="s">
        <v>40</v>
      </c>
      <c r="B20" s="101"/>
      <c r="C20" s="101"/>
      <c r="D20" s="101"/>
      <c r="E20" s="103"/>
    </row>
    <row r="21" ht="24.95" customHeight="1" spans="1:5">
      <c r="A21" s="104" t="s">
        <v>41</v>
      </c>
      <c r="B21" s="101"/>
      <c r="C21" s="101"/>
      <c r="D21" s="101"/>
      <c r="E21" s="103"/>
    </row>
    <row r="22" ht="24.95" customHeight="1" spans="1:5">
      <c r="A22" s="104" t="s">
        <v>42</v>
      </c>
      <c r="B22" s="101"/>
      <c r="C22" s="101"/>
      <c r="D22" s="101"/>
      <c r="E22" s="103"/>
    </row>
    <row r="23" ht="24.95" customHeight="1" spans="1:5">
      <c r="A23" s="104" t="s">
        <v>43</v>
      </c>
      <c r="B23" s="101"/>
      <c r="C23" s="101"/>
      <c r="D23" s="101"/>
      <c r="E23" s="103"/>
    </row>
    <row r="24" ht="24.95" customHeight="1" spans="1:5">
      <c r="A24" s="104" t="s">
        <v>44</v>
      </c>
      <c r="B24" s="101">
        <v>15621</v>
      </c>
      <c r="C24" s="101">
        <f>12216+1289</f>
        <v>13505</v>
      </c>
      <c r="D24" s="101">
        <f>20824+150</f>
        <v>20974</v>
      </c>
      <c r="E24" s="103">
        <f t="shared" si="0"/>
        <v>55.3</v>
      </c>
    </row>
  </sheetData>
  <mergeCells count="2">
    <mergeCell ref="A2:E2"/>
    <mergeCell ref="D3:E3"/>
  </mergeCells>
  <printOptions horizontalCentered="1"/>
  <pageMargins left="0.78740157480315" right="0.590551181102362" top="0.984251968503937" bottom="0.78740157480315" header="0.31496062992126" footer="0.31496062992126"/>
  <pageSetup paperSize="9" orientation="portrait"/>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39"/>
  <sheetViews>
    <sheetView topLeftCell="A11" workbookViewId="0">
      <selection activeCell="A2" sqref="A2:E2"/>
    </sheetView>
  </sheetViews>
  <sheetFormatPr defaultColWidth="9" defaultRowHeight="16.5" outlineLevelCol="4"/>
  <cols>
    <col min="1" max="1" width="43.625" style="5" customWidth="1"/>
    <col min="2" max="2" width="10.625" style="80" customWidth="1"/>
    <col min="3" max="3" width="9.625" style="80" customWidth="1"/>
    <col min="4" max="4" width="10" style="80" customWidth="1"/>
    <col min="5" max="5" width="8" style="80" customWidth="1"/>
    <col min="6" max="8" width="9" customWidth="1"/>
  </cols>
  <sheetData>
    <row r="1" s="1" customFormat="1" ht="24.95" customHeight="1" spans="1:1">
      <c r="A1" s="1" t="s">
        <v>6</v>
      </c>
    </row>
    <row r="2" s="2" customFormat="1" ht="30" customHeight="1" spans="1:5">
      <c r="A2" s="50" t="s">
        <v>45</v>
      </c>
      <c r="B2" s="50"/>
      <c r="C2" s="50"/>
      <c r="D2" s="50"/>
      <c r="E2" s="50"/>
    </row>
    <row r="3" s="3" customFormat="1" ht="20.1" customHeight="1" spans="4:5">
      <c r="D3" s="10" t="s">
        <v>19</v>
      </c>
      <c r="E3" s="10"/>
    </row>
    <row r="4" s="4" customFormat="1" ht="33" customHeight="1" spans="1:5">
      <c r="A4" s="11" t="s">
        <v>46</v>
      </c>
      <c r="B4" s="71" t="s">
        <v>21</v>
      </c>
      <c r="C4" s="71" t="s">
        <v>22</v>
      </c>
      <c r="D4" s="71" t="s">
        <v>23</v>
      </c>
      <c r="E4" s="12" t="s">
        <v>24</v>
      </c>
    </row>
    <row r="5" s="78" customFormat="1" ht="20.1" customHeight="1" spans="1:5">
      <c r="A5" s="67" t="s">
        <v>47</v>
      </c>
      <c r="B5" s="68">
        <f>SUM(B6,B9,B12,B30,B34,B38,B39)</f>
        <v>857042</v>
      </c>
      <c r="C5" s="76">
        <f>SUM(C6,C9,C12,C30,C34,C38,C39)</f>
        <v>586477</v>
      </c>
      <c r="D5" s="68">
        <f>SUM(D6,D9,D12,D30,D34,D38,D39)</f>
        <v>548540</v>
      </c>
      <c r="E5" s="81">
        <f>ROUND((D5/C5-1)*100,1)</f>
        <v>-6.5</v>
      </c>
    </row>
    <row r="6" s="79" customFormat="1" ht="20.1" customHeight="1" spans="1:5">
      <c r="A6" s="82" t="s">
        <v>48</v>
      </c>
      <c r="B6" s="68">
        <f>B7+B8</f>
        <v>55</v>
      </c>
      <c r="C6" s="76">
        <f>C7+C8</f>
        <v>23</v>
      </c>
      <c r="D6" s="68">
        <f>D7+D8</f>
        <v>0</v>
      </c>
      <c r="E6" s="83">
        <f t="shared" ref="E6:E39" si="0">ROUND((D6/C6-1)*100,1)</f>
        <v>-100</v>
      </c>
    </row>
    <row r="7" ht="20.1" customHeight="1" outlineLevel="1" spans="1:5">
      <c r="A7" s="16" t="s">
        <v>49</v>
      </c>
      <c r="B7" s="84">
        <v>55</v>
      </c>
      <c r="C7" s="19">
        <v>23</v>
      </c>
      <c r="D7" s="19"/>
      <c r="E7" s="85">
        <f t="shared" si="0"/>
        <v>-100</v>
      </c>
    </row>
    <row r="8" ht="20.1" customHeight="1" outlineLevel="1" spans="1:5">
      <c r="A8" s="16" t="s">
        <v>50</v>
      </c>
      <c r="B8" s="14"/>
      <c r="C8" s="19"/>
      <c r="D8" s="14"/>
      <c r="E8" s="85"/>
    </row>
    <row r="9" s="79" customFormat="1" ht="20.1" customHeight="1" spans="1:5">
      <c r="A9" s="82" t="s">
        <v>51</v>
      </c>
      <c r="B9" s="68">
        <f>B10+B11</f>
        <v>1267</v>
      </c>
      <c r="C9" s="76">
        <f>C10+C11</f>
        <v>711</v>
      </c>
      <c r="D9" s="68">
        <f>D10+D11</f>
        <v>600</v>
      </c>
      <c r="E9" s="83">
        <f t="shared" si="0"/>
        <v>-15.6</v>
      </c>
    </row>
    <row r="10" ht="20.1" customHeight="1" outlineLevel="1" spans="1:5">
      <c r="A10" s="16" t="s">
        <v>52</v>
      </c>
      <c r="B10" s="84">
        <v>1267</v>
      </c>
      <c r="C10" s="19">
        <v>711</v>
      </c>
      <c r="D10" s="19">
        <v>600</v>
      </c>
      <c r="E10" s="85">
        <f t="shared" si="0"/>
        <v>-15.6</v>
      </c>
    </row>
    <row r="11" ht="20.1" customHeight="1" outlineLevel="1" spans="1:5">
      <c r="A11" s="16" t="s">
        <v>53</v>
      </c>
      <c r="B11" s="14"/>
      <c r="C11" s="19"/>
      <c r="D11" s="14"/>
      <c r="E11" s="85"/>
    </row>
    <row r="12" s="79" customFormat="1" ht="20.1" customHeight="1" spans="1:5">
      <c r="A12" s="82" t="s">
        <v>54</v>
      </c>
      <c r="B12" s="68">
        <f>SUM(B13,B26:B29)</f>
        <v>502129</v>
      </c>
      <c r="C12" s="76">
        <f>SUM(C13,C25:C29)</f>
        <v>313915</v>
      </c>
      <c r="D12" s="68">
        <f t="shared" ref="C12:D12" si="1">SUM(D13,D26:D29)</f>
        <v>436362</v>
      </c>
      <c r="E12" s="83">
        <f t="shared" si="0"/>
        <v>39</v>
      </c>
    </row>
    <row r="13" ht="20.1" customHeight="1" outlineLevel="1" spans="1:5">
      <c r="A13" s="16" t="s">
        <v>55</v>
      </c>
      <c r="B13" s="86">
        <f>SUM(B14:B24)</f>
        <v>467429</v>
      </c>
      <c r="C13" s="87">
        <f>SUM(C14:C24)</f>
        <v>291071</v>
      </c>
      <c r="D13" s="86">
        <f>SUM(D14:D24)</f>
        <v>409552</v>
      </c>
      <c r="E13" s="85">
        <f t="shared" si="0"/>
        <v>40.7</v>
      </c>
    </row>
    <row r="14" ht="20.1" customHeight="1" outlineLevel="2" spans="1:5">
      <c r="A14" s="88" t="s">
        <v>56</v>
      </c>
      <c r="B14" s="86">
        <v>20000</v>
      </c>
      <c r="C14" s="86">
        <f>17389+79</f>
        <v>17468</v>
      </c>
      <c r="D14" s="86">
        <f>57007-592</f>
        <v>56415</v>
      </c>
      <c r="E14" s="85">
        <f t="shared" si="0"/>
        <v>223</v>
      </c>
    </row>
    <row r="15" ht="20.1" customHeight="1" outlineLevel="2" spans="1:5">
      <c r="A15" s="88" t="s">
        <v>57</v>
      </c>
      <c r="B15" s="86">
        <v>72</v>
      </c>
      <c r="C15" s="86">
        <v>72</v>
      </c>
      <c r="D15" s="86"/>
      <c r="E15" s="85"/>
    </row>
    <row r="16" ht="20.1" customHeight="1" outlineLevel="2" spans="1:5">
      <c r="A16" s="88" t="s">
        <v>58</v>
      </c>
      <c r="B16" s="86">
        <v>344592</v>
      </c>
      <c r="C16" s="86">
        <v>61291</v>
      </c>
      <c r="D16" s="86">
        <f>325593-96800-4000-531-3425</f>
        <v>220837</v>
      </c>
      <c r="E16" s="85">
        <f t="shared" si="0"/>
        <v>260.3</v>
      </c>
    </row>
    <row r="17" ht="20.1" customHeight="1" outlineLevel="2" spans="1:5">
      <c r="A17" s="88" t="s">
        <v>59</v>
      </c>
      <c r="B17" s="86">
        <v>41000</v>
      </c>
      <c r="C17" s="86">
        <v>64842</v>
      </c>
      <c r="D17" s="86">
        <v>30000</v>
      </c>
      <c r="E17" s="85">
        <f t="shared" si="0"/>
        <v>-53.7</v>
      </c>
    </row>
    <row r="18" ht="20.1" customHeight="1" outlineLevel="2" spans="1:5">
      <c r="A18" s="88" t="s">
        <v>60</v>
      </c>
      <c r="B18" s="86">
        <v>565</v>
      </c>
      <c r="C18" s="86">
        <v>565</v>
      </c>
      <c r="D18" s="86"/>
      <c r="E18" s="85"/>
    </row>
    <row r="19" ht="20.1" customHeight="1" outlineLevel="2" spans="1:5">
      <c r="A19" s="88" t="s">
        <v>61</v>
      </c>
      <c r="B19" s="86">
        <v>200</v>
      </c>
      <c r="C19" s="86">
        <v>50</v>
      </c>
      <c r="D19" s="86">
        <v>500</v>
      </c>
      <c r="E19" s="85">
        <f t="shared" si="0"/>
        <v>900</v>
      </c>
    </row>
    <row r="20" ht="20.1" customHeight="1" outlineLevel="2" spans="1:5">
      <c r="A20" s="88" t="s">
        <v>62</v>
      </c>
      <c r="B20" s="86"/>
      <c r="C20" s="86"/>
      <c r="D20" s="86"/>
      <c r="E20" s="85"/>
    </row>
    <row r="21" ht="20.1" customHeight="1" outlineLevel="2" spans="1:5">
      <c r="A21" s="88" t="s">
        <v>63</v>
      </c>
      <c r="B21" s="86"/>
      <c r="C21" s="86"/>
      <c r="D21" s="86"/>
      <c r="E21" s="85"/>
    </row>
    <row r="22" ht="20.1" customHeight="1" outlineLevel="2" spans="1:5">
      <c r="A22" s="88" t="s">
        <v>64</v>
      </c>
      <c r="B22" s="86">
        <v>1000</v>
      </c>
      <c r="C22" s="86">
        <v>0</v>
      </c>
      <c r="D22" s="86">
        <v>1000</v>
      </c>
      <c r="E22" s="85"/>
    </row>
    <row r="23" ht="20.1" customHeight="1" outlineLevel="2" spans="1:5">
      <c r="A23" s="88" t="s">
        <v>65</v>
      </c>
      <c r="B23" s="86"/>
      <c r="C23" s="86"/>
      <c r="D23" s="86"/>
      <c r="E23" s="85"/>
    </row>
    <row r="24" ht="20.1" customHeight="1" outlineLevel="2" spans="1:5">
      <c r="A24" s="89" t="s">
        <v>66</v>
      </c>
      <c r="B24" s="86">
        <v>60000</v>
      </c>
      <c r="C24" s="86">
        <v>146783</v>
      </c>
      <c r="D24" s="86">
        <f>96800+4000</f>
        <v>100800</v>
      </c>
      <c r="E24" s="85">
        <f>ROUND((D24/C24-1)*100,1)</f>
        <v>-31.3</v>
      </c>
    </row>
    <row r="25" ht="20.1" customHeight="1" outlineLevel="2" spans="1:5">
      <c r="A25" s="90" t="s">
        <v>67</v>
      </c>
      <c r="B25" s="86"/>
      <c r="C25" s="86">
        <v>30</v>
      </c>
      <c r="D25" s="86"/>
      <c r="E25" s="85"/>
    </row>
    <row r="26" ht="20.1" customHeight="1" outlineLevel="1" spans="1:5">
      <c r="A26" s="16" t="s">
        <v>68</v>
      </c>
      <c r="B26" s="86">
        <v>21300</v>
      </c>
      <c r="C26" s="86">
        <f>11650-1576-79</f>
        <v>9995</v>
      </c>
      <c r="D26" s="86">
        <v>16300</v>
      </c>
      <c r="E26" s="85"/>
    </row>
    <row r="27" ht="20.1" customHeight="1" outlineLevel="1" spans="1:5">
      <c r="A27" s="16" t="s">
        <v>69</v>
      </c>
      <c r="B27" s="86">
        <v>2400</v>
      </c>
      <c r="C27" s="86">
        <v>1576</v>
      </c>
      <c r="D27" s="86">
        <v>2250</v>
      </c>
      <c r="E27" s="85"/>
    </row>
    <row r="28" ht="20.1" customHeight="1" outlineLevel="1" spans="1:5">
      <c r="A28" s="16" t="s">
        <v>70</v>
      </c>
      <c r="B28" s="84">
        <v>4000</v>
      </c>
      <c r="C28" s="75">
        <v>3754</v>
      </c>
      <c r="D28" s="86">
        <v>3500</v>
      </c>
      <c r="E28" s="85">
        <f>ROUND((D28/C28-1)*100,1)</f>
        <v>-6.8</v>
      </c>
    </row>
    <row r="29" ht="20.1" customHeight="1" outlineLevel="1" spans="1:5">
      <c r="A29" s="16" t="s">
        <v>71</v>
      </c>
      <c r="B29" s="84">
        <v>7000</v>
      </c>
      <c r="C29" s="75">
        <f>4530+2959</f>
        <v>7489</v>
      </c>
      <c r="D29" s="86">
        <v>4760</v>
      </c>
      <c r="E29" s="85">
        <f>ROUND((D29/C29-1)*100,1)</f>
        <v>-36.4</v>
      </c>
    </row>
    <row r="30" s="79" customFormat="1" ht="20.1" customHeight="1" spans="1:5">
      <c r="A30" s="82" t="s">
        <v>72</v>
      </c>
      <c r="B30" s="68">
        <f>B31+B32+B33</f>
        <v>1200</v>
      </c>
      <c r="C30" s="76">
        <f>C31+C32+C33</f>
        <v>10</v>
      </c>
      <c r="D30" s="68">
        <f>D31+D32+D33</f>
        <v>825</v>
      </c>
      <c r="E30" s="85">
        <f>ROUND((D30/C30-1)*100,1)</f>
        <v>8150</v>
      </c>
    </row>
    <row r="31" ht="20.1" customHeight="1" outlineLevel="1" spans="1:5">
      <c r="A31" s="16" t="s">
        <v>73</v>
      </c>
      <c r="B31" s="91"/>
      <c r="C31" s="19">
        <v>10</v>
      </c>
      <c r="D31" s="19"/>
      <c r="E31" s="85"/>
    </row>
    <row r="32" ht="20.1" customHeight="1" outlineLevel="1" spans="1:5">
      <c r="A32" s="16" t="s">
        <v>74</v>
      </c>
      <c r="B32" s="14"/>
      <c r="C32" s="19"/>
      <c r="D32" s="19"/>
      <c r="E32" s="85"/>
    </row>
    <row r="33" ht="20.1" customHeight="1" outlineLevel="1" spans="1:5">
      <c r="A33" s="16" t="s">
        <v>75</v>
      </c>
      <c r="B33" s="84">
        <v>1200</v>
      </c>
      <c r="C33" s="19"/>
      <c r="D33" s="19">
        <v>825</v>
      </c>
      <c r="E33" s="83"/>
    </row>
    <row r="34" s="79" customFormat="1" ht="20.1" customHeight="1" spans="1:5">
      <c r="A34" s="82" t="s">
        <v>76</v>
      </c>
      <c r="B34" s="68">
        <f>B35+B36+B37</f>
        <v>332126</v>
      </c>
      <c r="C34" s="76">
        <f>C35+C36+C37</f>
        <v>251452</v>
      </c>
      <c r="D34" s="68">
        <f>D35+D36+D37</f>
        <v>84216</v>
      </c>
      <c r="E34" s="83">
        <f>ROUND((D34/C34-1)*100,1)</f>
        <v>-66.5</v>
      </c>
    </row>
    <row r="35" ht="20.1" customHeight="1" outlineLevel="1" spans="1:5">
      <c r="A35" s="90" t="s">
        <v>77</v>
      </c>
      <c r="B35" s="84">
        <f>207500+21854+100246</f>
        <v>329600</v>
      </c>
      <c r="C35" s="19">
        <v>249399</v>
      </c>
      <c r="D35" s="19">
        <v>82216</v>
      </c>
      <c r="E35" s="85">
        <f>ROUND((D35/C35-1)*100,1)</f>
        <v>-67</v>
      </c>
    </row>
    <row r="36" ht="20.1" customHeight="1" outlineLevel="1" spans="1:5">
      <c r="A36" s="16" t="s">
        <v>78</v>
      </c>
      <c r="B36" s="14"/>
      <c r="C36" s="19"/>
      <c r="D36" s="19"/>
      <c r="E36" s="85"/>
    </row>
    <row r="37" ht="20.1" customHeight="1" outlineLevel="1" spans="1:5">
      <c r="A37" s="16" t="s">
        <v>79</v>
      </c>
      <c r="B37" s="84">
        <v>2526</v>
      </c>
      <c r="C37" s="19">
        <v>2053</v>
      </c>
      <c r="D37" s="19">
        <v>2000</v>
      </c>
      <c r="E37" s="85">
        <f>ROUND((D37/C37-1)*100,1)</f>
        <v>-2.6</v>
      </c>
    </row>
    <row r="38" s="79" customFormat="1" ht="20.1" customHeight="1" spans="1:5">
      <c r="A38" s="82" t="s">
        <v>80</v>
      </c>
      <c r="B38" s="92">
        <v>20041</v>
      </c>
      <c r="C38" s="76">
        <v>20041</v>
      </c>
      <c r="D38" s="76">
        <v>26337</v>
      </c>
      <c r="E38" s="83">
        <f>ROUND((D38/C38-1)*100,1)</f>
        <v>31.4</v>
      </c>
    </row>
    <row r="39" s="79" customFormat="1" ht="20.1" customHeight="1" spans="1:5">
      <c r="A39" s="82" t="s">
        <v>81</v>
      </c>
      <c r="B39" s="92">
        <v>224</v>
      </c>
      <c r="C39" s="76">
        <v>325</v>
      </c>
      <c r="D39" s="76">
        <v>200</v>
      </c>
      <c r="E39" s="83">
        <f>ROUND((D39/C39-1)*100,1)</f>
        <v>-38.5</v>
      </c>
    </row>
  </sheetData>
  <mergeCells count="2">
    <mergeCell ref="A2:E2"/>
    <mergeCell ref="D3:E3"/>
  </mergeCells>
  <printOptions horizontalCentered="1"/>
  <pageMargins left="0.78740157480315" right="0.590551181102362" top="0.984251968503937" bottom="0.78740157480315" header="0.31496062992126" footer="0.31496062992126"/>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
  <sheetViews>
    <sheetView tabSelected="1" workbookViewId="0">
      <selection activeCell="A2" sqref="A2:H2"/>
    </sheetView>
  </sheetViews>
  <sheetFormatPr defaultColWidth="9" defaultRowHeight="14.25" outlineLevelCol="7"/>
  <cols>
    <col min="1" max="1" width="32.875" customWidth="1"/>
    <col min="2" max="2" width="10.625" customWidth="1"/>
    <col min="3" max="4" width="9.625" customWidth="1"/>
    <col min="5" max="5" width="37.25" customWidth="1"/>
    <col min="6" max="6" width="10.625" customWidth="1"/>
    <col min="7" max="8" width="9.625" customWidth="1"/>
  </cols>
  <sheetData>
    <row r="1" s="1" customFormat="1" ht="21" customHeight="1" spans="1:1">
      <c r="A1" s="1" t="s">
        <v>8</v>
      </c>
    </row>
    <row r="2" s="2" customFormat="1" ht="32" customHeight="1" spans="1:8">
      <c r="A2" s="50" t="s">
        <v>82</v>
      </c>
      <c r="B2" s="50"/>
      <c r="C2" s="50"/>
      <c r="D2" s="50"/>
      <c r="E2" s="50"/>
      <c r="F2" s="50"/>
      <c r="G2" s="50"/>
      <c r="H2" s="50"/>
    </row>
    <row r="3" s="3" customFormat="1" ht="20.1" customHeight="1" spans="7:8">
      <c r="G3" s="10" t="s">
        <v>19</v>
      </c>
      <c r="H3" s="10"/>
    </row>
    <row r="4" s="48" customFormat="1" ht="20.1" customHeight="1" spans="1:8">
      <c r="A4" s="11" t="s">
        <v>83</v>
      </c>
      <c r="B4" s="11"/>
      <c r="C4" s="11"/>
      <c r="D4" s="52"/>
      <c r="E4" s="53" t="s">
        <v>84</v>
      </c>
      <c r="F4" s="11"/>
      <c r="G4" s="11"/>
      <c r="H4" s="11"/>
    </row>
    <row r="5" s="4" customFormat="1" ht="30" customHeight="1" spans="1:8">
      <c r="A5" s="11" t="s">
        <v>85</v>
      </c>
      <c r="B5" s="71" t="s">
        <v>21</v>
      </c>
      <c r="C5" s="71" t="s">
        <v>22</v>
      </c>
      <c r="D5" s="71" t="s">
        <v>23</v>
      </c>
      <c r="E5" s="53" t="s">
        <v>85</v>
      </c>
      <c r="F5" s="71" t="s">
        <v>21</v>
      </c>
      <c r="G5" s="71" t="s">
        <v>22</v>
      </c>
      <c r="H5" s="71" t="s">
        <v>23</v>
      </c>
    </row>
    <row r="6" s="4" customFormat="1" ht="20.1" customHeight="1" spans="1:8">
      <c r="A6" s="13" t="s">
        <v>86</v>
      </c>
      <c r="B6" s="14">
        <f>SUM(B7:B9,B15:B18)</f>
        <v>621303</v>
      </c>
      <c r="C6" s="14">
        <f>SUM(C7:C9,C15:C18)</f>
        <v>360708.596248</v>
      </c>
      <c r="D6" s="14">
        <f>SUM(D7:D9,D15:D18)</f>
        <v>561884</v>
      </c>
      <c r="E6" s="57" t="s">
        <v>87</v>
      </c>
      <c r="F6" s="14">
        <f>SUM(F7:F9,F16:F19)</f>
        <v>857042</v>
      </c>
      <c r="G6" s="14">
        <f>SUM(G7:G9,G16:G19)</f>
        <v>586477</v>
      </c>
      <c r="H6" s="14">
        <f>SUM(H7:H9,H16:H19)</f>
        <v>548540</v>
      </c>
    </row>
    <row r="7" s="5" customFormat="1" ht="20.1" customHeight="1" spans="1:8">
      <c r="A7" s="16" t="s">
        <v>88</v>
      </c>
      <c r="B7" s="14">
        <v>21300</v>
      </c>
      <c r="C7" s="14">
        <f>表1!C8</f>
        <v>10023.44</v>
      </c>
      <c r="D7" s="14">
        <f>表1!D8</f>
        <v>16300</v>
      </c>
      <c r="E7" s="59" t="s">
        <v>89</v>
      </c>
      <c r="F7" s="14">
        <v>55</v>
      </c>
      <c r="G7" s="14">
        <f>表2!C6</f>
        <v>23</v>
      </c>
      <c r="H7" s="14">
        <f>表2!D6</f>
        <v>0</v>
      </c>
    </row>
    <row r="8" s="5" customFormat="1" ht="20.1" customHeight="1" spans="1:8">
      <c r="A8" s="16" t="s">
        <v>90</v>
      </c>
      <c r="B8" s="14">
        <v>2400</v>
      </c>
      <c r="C8" s="14">
        <f>表1!C9</f>
        <v>1584.83</v>
      </c>
      <c r="D8" s="14">
        <f>表1!D9</f>
        <v>2250</v>
      </c>
      <c r="E8" s="59" t="s">
        <v>91</v>
      </c>
      <c r="F8" s="14">
        <v>1267</v>
      </c>
      <c r="G8" s="14">
        <f>表2!C9</f>
        <v>711</v>
      </c>
      <c r="H8" s="14">
        <f>表2!D9</f>
        <v>600</v>
      </c>
    </row>
    <row r="9" s="5" customFormat="1" ht="20.1" customHeight="1" spans="1:8">
      <c r="A9" s="16" t="s">
        <v>92</v>
      </c>
      <c r="B9" s="14">
        <f>SUM(B10:B14)</f>
        <v>570982</v>
      </c>
      <c r="C9" s="14">
        <f>表1!C10</f>
        <v>324256.326248</v>
      </c>
      <c r="D9" s="14">
        <f>表1!D10</f>
        <v>514100</v>
      </c>
      <c r="E9" s="59" t="s">
        <v>93</v>
      </c>
      <c r="F9" s="14">
        <f>SUM(F10:F14)</f>
        <v>502129</v>
      </c>
      <c r="G9" s="14">
        <f>SUM(G10:G15)</f>
        <v>313915</v>
      </c>
      <c r="H9" s="14">
        <f>SUM(H10:H14)</f>
        <v>436362</v>
      </c>
    </row>
    <row r="10" s="5" customFormat="1" ht="20.1" customHeight="1" spans="1:8">
      <c r="A10" s="16" t="s">
        <v>94</v>
      </c>
      <c r="B10" s="14">
        <f>678982-100000</f>
        <v>578982</v>
      </c>
      <c r="C10" s="14">
        <f>表1!C11</f>
        <v>319813.163548</v>
      </c>
      <c r="D10" s="14">
        <f>表1!D11</f>
        <v>496815</v>
      </c>
      <c r="E10" s="72" t="s">
        <v>55</v>
      </c>
      <c r="F10" s="14">
        <f>表2!B13</f>
        <v>467429</v>
      </c>
      <c r="G10" s="14">
        <f>表2!C13</f>
        <v>291071</v>
      </c>
      <c r="H10" s="14">
        <f>表2!D13</f>
        <v>409552</v>
      </c>
    </row>
    <row r="11" s="5" customFormat="1" ht="20.1" customHeight="1" spans="1:8">
      <c r="A11" s="16" t="s">
        <v>95</v>
      </c>
      <c r="B11" s="14"/>
      <c r="C11" s="14">
        <f>表1!C12</f>
        <v>11744.1627</v>
      </c>
      <c r="D11" s="14">
        <f>表1!D12</f>
        <v>26285</v>
      </c>
      <c r="E11" s="73" t="s">
        <v>68</v>
      </c>
      <c r="F11" s="14">
        <f>表2!B26</f>
        <v>21300</v>
      </c>
      <c r="G11" s="14">
        <f>表2!C26</f>
        <v>9995</v>
      </c>
      <c r="H11" s="14">
        <f>表2!D26</f>
        <v>16300</v>
      </c>
    </row>
    <row r="12" s="5" customFormat="1" ht="20.1" customHeight="1" spans="1:8">
      <c r="A12" s="16" t="s">
        <v>96</v>
      </c>
      <c r="B12" s="14"/>
      <c r="C12" s="14">
        <f>表1!C13</f>
        <v>0</v>
      </c>
      <c r="D12" s="14">
        <f>表1!D13</f>
        <v>0</v>
      </c>
      <c r="E12" s="73" t="s">
        <v>69</v>
      </c>
      <c r="F12" s="14">
        <f>表2!B27</f>
        <v>2400</v>
      </c>
      <c r="G12" s="14">
        <f>表2!C27</f>
        <v>1576</v>
      </c>
      <c r="H12" s="14">
        <f>表2!D27</f>
        <v>2250</v>
      </c>
    </row>
    <row r="13" s="5" customFormat="1" ht="20.1" customHeight="1" spans="1:8">
      <c r="A13" s="62" t="s">
        <v>97</v>
      </c>
      <c r="B13" s="14">
        <v>-9000</v>
      </c>
      <c r="C13" s="14">
        <f>表1!C14</f>
        <v>-7301</v>
      </c>
      <c r="D13" s="14">
        <f>表1!D14</f>
        <v>-10000</v>
      </c>
      <c r="E13" s="59" t="s">
        <v>70</v>
      </c>
      <c r="F13" s="14">
        <f>表2!B28</f>
        <v>4000</v>
      </c>
      <c r="G13" s="14">
        <f>表2!C28</f>
        <v>3754</v>
      </c>
      <c r="H13" s="14">
        <f>表2!D28</f>
        <v>3500</v>
      </c>
    </row>
    <row r="14" s="5" customFormat="1" ht="20.1" customHeight="1" spans="1:8">
      <c r="A14" s="16" t="s">
        <v>98</v>
      </c>
      <c r="B14" s="14">
        <v>1000</v>
      </c>
      <c r="C14" s="14">
        <f>表1!C15</f>
        <v>0</v>
      </c>
      <c r="D14" s="14">
        <f>表1!D15</f>
        <v>1000</v>
      </c>
      <c r="E14" s="59" t="s">
        <v>71</v>
      </c>
      <c r="F14" s="14">
        <f>表2!B29</f>
        <v>7000</v>
      </c>
      <c r="G14" s="14">
        <f>表2!C29</f>
        <v>7489</v>
      </c>
      <c r="H14" s="14">
        <f>表2!D29</f>
        <v>4760</v>
      </c>
    </row>
    <row r="15" s="5" customFormat="1" ht="20.1" customHeight="1" spans="1:8">
      <c r="A15" s="16" t="s">
        <v>99</v>
      </c>
      <c r="B15" s="14">
        <v>4000</v>
      </c>
      <c r="C15" s="14">
        <f>表1!C16</f>
        <v>3883</v>
      </c>
      <c r="D15" s="14">
        <f>表1!D16</f>
        <v>3500</v>
      </c>
      <c r="E15" s="74" t="s">
        <v>100</v>
      </c>
      <c r="F15" s="14"/>
      <c r="G15" s="14">
        <v>30</v>
      </c>
      <c r="H15" s="14"/>
    </row>
    <row r="16" s="5" customFormat="1" ht="20.1" customHeight="1" spans="1:8">
      <c r="A16" s="16" t="s">
        <v>101</v>
      </c>
      <c r="B16" s="14">
        <v>7000</v>
      </c>
      <c r="C16" s="14">
        <f>表1!C17</f>
        <v>7456</v>
      </c>
      <c r="D16" s="14">
        <f>表1!D17</f>
        <v>4760</v>
      </c>
      <c r="E16" s="59" t="s">
        <v>102</v>
      </c>
      <c r="F16" s="14">
        <f>表2!B30</f>
        <v>1200</v>
      </c>
      <c r="G16" s="14">
        <f>表2!C30</f>
        <v>10</v>
      </c>
      <c r="H16" s="14">
        <f>表2!D30</f>
        <v>825</v>
      </c>
    </row>
    <row r="17" s="5" customFormat="1" ht="20.1" customHeight="1" spans="1:8">
      <c r="A17" s="16" t="s">
        <v>103</v>
      </c>
      <c r="B17" s="14"/>
      <c r="C17" s="14">
        <f>表1!C18</f>
        <v>0</v>
      </c>
      <c r="D17" s="14">
        <f>表1!D18</f>
        <v>0</v>
      </c>
      <c r="E17" s="59" t="s">
        <v>104</v>
      </c>
      <c r="F17" s="14">
        <f>表2!B34</f>
        <v>332126</v>
      </c>
      <c r="G17" s="14">
        <f>表2!C34</f>
        <v>251452</v>
      </c>
      <c r="H17" s="14">
        <f>表2!D34</f>
        <v>84216</v>
      </c>
    </row>
    <row r="18" s="5" customFormat="1" ht="20.1" customHeight="1" spans="1:8">
      <c r="A18" s="16" t="s">
        <v>105</v>
      </c>
      <c r="B18" s="14">
        <f>1583+13822+216</f>
        <v>15621</v>
      </c>
      <c r="C18" s="14">
        <f>表1!C19</f>
        <v>13505</v>
      </c>
      <c r="D18" s="14">
        <f>表1!D19</f>
        <v>20974</v>
      </c>
      <c r="E18" s="59" t="s">
        <v>106</v>
      </c>
      <c r="F18" s="14">
        <f>表2!B38</f>
        <v>20041</v>
      </c>
      <c r="G18" s="14">
        <f>表2!C38</f>
        <v>20041</v>
      </c>
      <c r="H18" s="14">
        <f>表2!D38</f>
        <v>26337</v>
      </c>
    </row>
    <row r="19" s="5" customFormat="1" ht="20.1" customHeight="1" spans="1:8">
      <c r="A19" s="13" t="s">
        <v>107</v>
      </c>
      <c r="B19" s="14">
        <f>SUM(B20:B23)</f>
        <v>357329</v>
      </c>
      <c r="C19" s="14">
        <f>SUM(C20:C23)</f>
        <v>365353</v>
      </c>
      <c r="D19" s="14" t="e">
        <f>SUM(D20:D23)</f>
        <v>#REF!</v>
      </c>
      <c r="E19" s="59" t="s">
        <v>108</v>
      </c>
      <c r="F19" s="14">
        <f>表2!B39</f>
        <v>224</v>
      </c>
      <c r="G19" s="14">
        <f>表2!C39</f>
        <v>325</v>
      </c>
      <c r="H19" s="14">
        <f>表2!D39</f>
        <v>200</v>
      </c>
    </row>
    <row r="20" s="5" customFormat="1" ht="20.1" customHeight="1" spans="1:8">
      <c r="A20" s="16" t="s">
        <v>109</v>
      </c>
      <c r="B20" s="14">
        <v>5048</v>
      </c>
      <c r="C20" s="14">
        <v>6212</v>
      </c>
      <c r="D20" s="14">
        <f>82+470</f>
        <v>552</v>
      </c>
      <c r="E20" s="57" t="s">
        <v>110</v>
      </c>
      <c r="F20" s="14">
        <f>SUM(F21:F24)</f>
        <v>121590</v>
      </c>
      <c r="G20" s="14" t="e">
        <f t="shared" ref="F20:H20" si="0">SUM(G21:G24)</f>
        <v>#REF!</v>
      </c>
      <c r="H20" s="14" t="e">
        <f t="shared" si="0"/>
        <v>#REF!</v>
      </c>
    </row>
    <row r="21" s="5" customFormat="1" ht="20.1" customHeight="1" spans="1:8">
      <c r="A21" s="16" t="s">
        <v>111</v>
      </c>
      <c r="B21" s="14">
        <f>207500+7747+100246</f>
        <v>315493</v>
      </c>
      <c r="C21" s="14">
        <f>207500+7747+100246</f>
        <v>315493</v>
      </c>
      <c r="D21" s="14">
        <v>67272</v>
      </c>
      <c r="E21" s="59" t="s">
        <v>112</v>
      </c>
      <c r="F21" s="14"/>
      <c r="G21" s="14"/>
      <c r="H21" s="14"/>
    </row>
    <row r="22" s="5" customFormat="1" ht="20.1" customHeight="1" spans="1:8">
      <c r="A22" s="16" t="s">
        <v>113</v>
      </c>
      <c r="B22" s="14"/>
      <c r="C22" s="14">
        <v>6860</v>
      </c>
      <c r="D22" s="14"/>
      <c r="E22" s="59" t="s">
        <v>114</v>
      </c>
      <c r="F22" s="14">
        <f>7747+1583+21791</f>
        <v>31121</v>
      </c>
      <c r="G22" s="14">
        <f>7747+1583+21791</f>
        <v>31121</v>
      </c>
      <c r="H22" s="14">
        <v>67272</v>
      </c>
    </row>
    <row r="23" s="5" customFormat="1" ht="20.1" customHeight="1" spans="1:8">
      <c r="A23" s="16" t="s">
        <v>115</v>
      </c>
      <c r="B23" s="14">
        <v>36788</v>
      </c>
      <c r="C23" s="14">
        <v>36788</v>
      </c>
      <c r="D23" s="14" t="e">
        <f>G24</f>
        <v>#REF!</v>
      </c>
      <c r="E23" s="59" t="s">
        <v>116</v>
      </c>
      <c r="F23" s="14">
        <f>72183+2200+5059+2500+169</f>
        <v>82111</v>
      </c>
      <c r="G23" s="14">
        <v>16384</v>
      </c>
      <c r="H23" s="14">
        <f>114300-20776+1759-315+2015-772+180</f>
        <v>96391</v>
      </c>
    </row>
    <row r="24" s="5" customFormat="1" ht="20.1" customHeight="1" spans="1:8">
      <c r="A24" s="16"/>
      <c r="B24" s="75"/>
      <c r="C24" s="75"/>
      <c r="D24" s="75"/>
      <c r="E24" s="59" t="s">
        <v>117</v>
      </c>
      <c r="F24" s="14">
        <v>8358</v>
      </c>
      <c r="G24" s="14" t="e">
        <f>#REF!</f>
        <v>#REF!</v>
      </c>
      <c r="H24" s="14" t="e">
        <f>#REF!</f>
        <v>#REF!</v>
      </c>
    </row>
    <row r="25" s="5" customFormat="1" ht="20.1" customHeight="1" spans="1:8">
      <c r="A25" s="67" t="s">
        <v>118</v>
      </c>
      <c r="B25" s="68">
        <f>B6+B19</f>
        <v>978632</v>
      </c>
      <c r="C25" s="76">
        <f>C6+C19</f>
        <v>726061.596248</v>
      </c>
      <c r="D25" s="69" t="e">
        <f>D6+D19</f>
        <v>#REF!</v>
      </c>
      <c r="E25" s="70" t="s">
        <v>119</v>
      </c>
      <c r="F25" s="68">
        <f>F6+F20</f>
        <v>978632</v>
      </c>
      <c r="G25" s="76" t="e">
        <f>G6+G20</f>
        <v>#REF!</v>
      </c>
      <c r="H25" s="68" t="e">
        <f>H6+H20</f>
        <v>#REF!</v>
      </c>
    </row>
    <row r="26" s="5" customFormat="1" ht="20.1" customHeight="1" spans="1:8">
      <c r="A26"/>
      <c r="B26"/>
      <c r="C26"/>
      <c r="D26"/>
      <c r="E26"/>
      <c r="F26">
        <f>B25-F25</f>
        <v>0</v>
      </c>
      <c r="G26" s="77" t="e">
        <f>C25-G25</f>
        <v>#REF!</v>
      </c>
      <c r="H26" s="77" t="e">
        <f>D25-H25</f>
        <v>#REF!</v>
      </c>
    </row>
    <row r="27" s="5" customFormat="1" ht="20.1" customHeight="1" spans="1:8">
      <c r="A27"/>
      <c r="B27"/>
      <c r="C27"/>
      <c r="D27"/>
      <c r="E27"/>
      <c r="F27"/>
      <c r="G27"/>
      <c r="H27"/>
    </row>
    <row r="28" s="5" customFormat="1" ht="20.1" customHeight="1" spans="1:8">
      <c r="A28"/>
      <c r="B28"/>
      <c r="C28"/>
      <c r="D28"/>
      <c r="E28"/>
      <c r="F28"/>
      <c r="G28"/>
      <c r="H28"/>
    </row>
    <row r="29" s="5" customFormat="1" ht="20.1" customHeight="1" spans="1:8">
      <c r="A29"/>
      <c r="B29"/>
      <c r="C29"/>
      <c r="D29"/>
      <c r="E29"/>
      <c r="F29"/>
      <c r="G29"/>
      <c r="H29"/>
    </row>
    <row r="30" s="5" customFormat="1" ht="20.1" customHeight="1" spans="1:8">
      <c r="A30"/>
      <c r="B30"/>
      <c r="C30"/>
      <c r="D30"/>
      <c r="E30"/>
      <c r="F30"/>
      <c r="G30"/>
      <c r="H30"/>
    </row>
    <row r="31" s="5" customFormat="1" ht="20.1" customHeight="1" spans="1:8">
      <c r="A31"/>
      <c r="B31"/>
      <c r="C31"/>
      <c r="D31"/>
      <c r="E31"/>
      <c r="F31"/>
      <c r="G31"/>
      <c r="H31"/>
    </row>
    <row r="32" s="5" customFormat="1" ht="20.1" customHeight="1" spans="1:8">
      <c r="A32"/>
      <c r="B32"/>
      <c r="C32"/>
      <c r="D32"/>
      <c r="E32"/>
      <c r="F32"/>
      <c r="G32"/>
      <c r="H32"/>
    </row>
    <row r="33" s="5" customFormat="1" ht="20.1" customHeight="1" spans="1:8">
      <c r="A33"/>
      <c r="B33"/>
      <c r="C33"/>
      <c r="D33"/>
      <c r="E33"/>
      <c r="F33"/>
      <c r="G33"/>
      <c r="H33"/>
    </row>
  </sheetData>
  <sheetProtection password="C70D" sheet="1" objects="1"/>
  <mergeCells count="4">
    <mergeCell ref="A2:H2"/>
    <mergeCell ref="G3:H3"/>
    <mergeCell ref="A4:D4"/>
    <mergeCell ref="E4:H4"/>
  </mergeCells>
  <printOptions horizontalCentered="1"/>
  <pageMargins left="0.590551181102362" right="0.590551181102362" top="0.984251968503937" bottom="0.78740157480315"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
  <sheetViews>
    <sheetView topLeftCell="A4" workbookViewId="0">
      <selection activeCell="C22" sqref="C22"/>
    </sheetView>
  </sheetViews>
  <sheetFormatPr defaultColWidth="9" defaultRowHeight="14.25" outlineLevelCol="7"/>
  <cols>
    <col min="1" max="1" width="33.375" customWidth="1"/>
    <col min="2" max="2" width="10.625" customWidth="1"/>
    <col min="3" max="4" width="9.625" customWidth="1"/>
    <col min="5" max="5" width="35.625" customWidth="1"/>
    <col min="6" max="6" width="10.625" customWidth="1"/>
    <col min="7" max="8" width="9.625" customWidth="1"/>
  </cols>
  <sheetData>
    <row r="1" s="1" customFormat="1" ht="24.95" customHeight="1" spans="1:1">
      <c r="A1" s="1" t="s">
        <v>8</v>
      </c>
    </row>
    <row r="2" s="2" customFormat="1" ht="30" customHeight="1" spans="1:8">
      <c r="A2" s="50" t="s">
        <v>120</v>
      </c>
      <c r="B2" s="50"/>
      <c r="C2" s="50"/>
      <c r="D2" s="50"/>
      <c r="E2" s="50"/>
      <c r="F2" s="50"/>
      <c r="G2" s="50"/>
      <c r="H2" s="50"/>
    </row>
    <row r="3" s="3" customFormat="1" ht="20.1" customHeight="1" spans="8:8">
      <c r="H3" s="51" t="s">
        <v>19</v>
      </c>
    </row>
    <row r="4" s="48" customFormat="1" ht="20.1" customHeight="1" spans="1:8">
      <c r="A4" s="11" t="s">
        <v>83</v>
      </c>
      <c r="B4" s="11"/>
      <c r="C4" s="11"/>
      <c r="D4" s="52"/>
      <c r="E4" s="53" t="s">
        <v>84</v>
      </c>
      <c r="F4" s="11"/>
      <c r="G4" s="11"/>
      <c r="H4" s="11"/>
    </row>
    <row r="5" s="4" customFormat="1" ht="35.1" customHeight="1" spans="1:8">
      <c r="A5" s="11" t="s">
        <v>85</v>
      </c>
      <c r="B5" s="12" t="s">
        <v>121</v>
      </c>
      <c r="C5" s="12" t="s">
        <v>122</v>
      </c>
      <c r="D5" s="54" t="s">
        <v>123</v>
      </c>
      <c r="E5" s="53" t="s">
        <v>85</v>
      </c>
      <c r="F5" s="12" t="s">
        <v>121</v>
      </c>
      <c r="G5" s="12" t="s">
        <v>122</v>
      </c>
      <c r="H5" s="12" t="s">
        <v>123</v>
      </c>
    </row>
    <row r="6" s="4" customFormat="1" ht="20.1" customHeight="1" spans="1:8">
      <c r="A6" s="13" t="s">
        <v>86</v>
      </c>
      <c r="B6" s="55">
        <f>SUM(B7:B9,B15:B18)</f>
        <v>466100</v>
      </c>
      <c r="C6" s="55">
        <f>SUM(C7:C9,C15:C18)</f>
        <v>561492</v>
      </c>
      <c r="D6" s="56">
        <f>SUM(D7:D9,D15:D18)</f>
        <v>599969</v>
      </c>
      <c r="E6" s="57" t="s">
        <v>87</v>
      </c>
      <c r="F6" s="55">
        <f>SUM(F7:F9,F13:F16)</f>
        <v>350289</v>
      </c>
      <c r="G6" s="55">
        <f>SUM(G7:G9,G13:G16)</f>
        <v>437611</v>
      </c>
      <c r="H6" s="55">
        <f>SUM(H7:H9,H13:H16)</f>
        <v>398973</v>
      </c>
    </row>
    <row r="7" s="5" customFormat="1" ht="20.1" customHeight="1" spans="1:8">
      <c r="A7" s="16" t="s">
        <v>88</v>
      </c>
      <c r="B7" s="14">
        <v>8772</v>
      </c>
      <c r="C7" s="14"/>
      <c r="D7" s="58">
        <v>8000</v>
      </c>
      <c r="E7" s="59" t="s">
        <v>89</v>
      </c>
      <c r="F7" s="14">
        <v>117</v>
      </c>
      <c r="G7" s="14">
        <v>117</v>
      </c>
      <c r="H7" s="14">
        <v>11</v>
      </c>
    </row>
    <row r="8" s="5" customFormat="1" ht="20.1" customHeight="1" spans="1:8">
      <c r="A8" s="16" t="s">
        <v>90</v>
      </c>
      <c r="B8" s="14">
        <v>1523</v>
      </c>
      <c r="C8" s="14">
        <v>2785</v>
      </c>
      <c r="D8" s="58">
        <v>2000</v>
      </c>
      <c r="E8" s="59" t="s">
        <v>91</v>
      </c>
      <c r="F8" s="14">
        <v>1242</v>
      </c>
      <c r="G8" s="14">
        <v>581</v>
      </c>
      <c r="H8" s="14">
        <v>622</v>
      </c>
    </row>
    <row r="9" s="5" customFormat="1" ht="20.1" customHeight="1" spans="1:8">
      <c r="A9" s="16" t="s">
        <v>92</v>
      </c>
      <c r="B9" s="14">
        <f>SUM(B10:B14)</f>
        <v>439963</v>
      </c>
      <c r="C9" s="14">
        <f>SUM(C10:C14)</f>
        <v>538448</v>
      </c>
      <c r="D9" s="58">
        <f>SUM(D10:D14)</f>
        <v>573000</v>
      </c>
      <c r="E9" s="59" t="s">
        <v>93</v>
      </c>
      <c r="F9" s="14">
        <f>SUM(F10:F12)</f>
        <v>319954</v>
      </c>
      <c r="G9" s="14">
        <f>SUM(G10:G12)</f>
        <v>370075</v>
      </c>
      <c r="H9" s="14">
        <f>SUM(H10:H12)</f>
        <v>373984</v>
      </c>
    </row>
    <row r="10" s="5" customFormat="1" ht="20.1" customHeight="1" spans="1:8">
      <c r="A10" s="16" t="s">
        <v>94</v>
      </c>
      <c r="B10" s="14">
        <v>306004</v>
      </c>
      <c r="C10" s="14">
        <v>519741</v>
      </c>
      <c r="D10" s="58">
        <f>529000+50000</f>
        <v>579000</v>
      </c>
      <c r="E10" s="60" t="s">
        <v>55</v>
      </c>
      <c r="F10" s="14">
        <v>308133</v>
      </c>
      <c r="G10" s="14">
        <v>365088</v>
      </c>
      <c r="H10" s="14">
        <v>363748</v>
      </c>
    </row>
    <row r="11" s="5" customFormat="1" ht="20.1" customHeight="1" spans="1:8">
      <c r="A11" s="16" t="s">
        <v>95</v>
      </c>
      <c r="B11" s="14">
        <v>49982</v>
      </c>
      <c r="C11" s="14"/>
      <c r="D11" s="58"/>
      <c r="E11" s="61" t="s">
        <v>70</v>
      </c>
      <c r="F11" s="14">
        <v>8221</v>
      </c>
      <c r="G11" s="14">
        <v>1510</v>
      </c>
      <c r="H11" s="14">
        <v>5604</v>
      </c>
    </row>
    <row r="12" s="5" customFormat="1" ht="20.1" customHeight="1" spans="1:8">
      <c r="A12" s="16" t="s">
        <v>96</v>
      </c>
      <c r="B12" s="14">
        <v>53316</v>
      </c>
      <c r="C12" s="14"/>
      <c r="D12" s="58"/>
      <c r="E12" s="61" t="s">
        <v>71</v>
      </c>
      <c r="F12" s="14">
        <v>3600</v>
      </c>
      <c r="G12" s="14">
        <v>3477</v>
      </c>
      <c r="H12" s="14">
        <v>4632</v>
      </c>
    </row>
    <row r="13" s="5" customFormat="1" ht="20.1" customHeight="1" spans="1:8">
      <c r="A13" s="62" t="s">
        <v>97</v>
      </c>
      <c r="B13" s="14"/>
      <c r="C13" s="14">
        <v>-4956</v>
      </c>
      <c r="D13" s="58">
        <v>-8000</v>
      </c>
      <c r="E13" s="59" t="s">
        <v>102</v>
      </c>
      <c r="F13" s="14">
        <v>1400</v>
      </c>
      <c r="G13" s="14">
        <v>886</v>
      </c>
      <c r="H13" s="14">
        <v>514</v>
      </c>
    </row>
    <row r="14" s="5" customFormat="1" ht="20.1" customHeight="1" spans="1:8">
      <c r="A14" s="16" t="s">
        <v>98</v>
      </c>
      <c r="B14" s="14">
        <v>30661</v>
      </c>
      <c r="C14" s="14">
        <v>23663</v>
      </c>
      <c r="D14" s="58">
        <v>2000</v>
      </c>
      <c r="E14" s="59" t="s">
        <v>104</v>
      </c>
      <c r="F14" s="14">
        <v>17076</v>
      </c>
      <c r="G14" s="14">
        <v>55483</v>
      </c>
      <c r="H14" s="14">
        <v>11581</v>
      </c>
    </row>
    <row r="15" s="5" customFormat="1" ht="20.1" customHeight="1" spans="1:8">
      <c r="A15" s="16" t="s">
        <v>99</v>
      </c>
      <c r="B15" s="14">
        <v>10000</v>
      </c>
      <c r="C15" s="14">
        <v>11333</v>
      </c>
      <c r="D15" s="58">
        <v>8000</v>
      </c>
      <c r="E15" s="59" t="s">
        <v>106</v>
      </c>
      <c r="F15" s="14">
        <v>10400</v>
      </c>
      <c r="G15" s="14">
        <v>10405</v>
      </c>
      <c r="H15" s="14">
        <v>12161</v>
      </c>
    </row>
    <row r="16" s="5" customFormat="1" ht="20.1" customHeight="1" spans="1:8">
      <c r="A16" s="16" t="s">
        <v>101</v>
      </c>
      <c r="B16" s="14">
        <v>3600</v>
      </c>
      <c r="C16" s="14">
        <v>6900</v>
      </c>
      <c r="D16" s="58">
        <v>4632</v>
      </c>
      <c r="E16" s="59" t="s">
        <v>108</v>
      </c>
      <c r="F16" s="14">
        <v>100</v>
      </c>
      <c r="G16" s="14">
        <v>64</v>
      </c>
      <c r="H16" s="14">
        <v>100</v>
      </c>
    </row>
    <row r="17" s="5" customFormat="1" ht="20.1" customHeight="1" spans="1:8">
      <c r="A17" s="16" t="s">
        <v>103</v>
      </c>
      <c r="B17" s="14"/>
      <c r="C17" s="14"/>
      <c r="D17" s="58"/>
      <c r="E17" s="57" t="s">
        <v>110</v>
      </c>
      <c r="F17" s="14">
        <f>SUM(F18:F21)</f>
        <v>155280</v>
      </c>
      <c r="G17" s="14">
        <f>SUM(G18:G21)</f>
        <v>214050</v>
      </c>
      <c r="H17" s="14">
        <f>SUM(H18:H21)</f>
        <v>305322</v>
      </c>
    </row>
    <row r="18" s="5" customFormat="1" ht="20.1" customHeight="1" spans="1:8">
      <c r="A18" s="16" t="s">
        <v>105</v>
      </c>
      <c r="B18" s="14">
        <v>2242</v>
      </c>
      <c r="C18" s="14">
        <v>2026</v>
      </c>
      <c r="D18" s="58">
        <v>4337</v>
      </c>
      <c r="E18" s="59" t="s">
        <v>112</v>
      </c>
      <c r="F18" s="14"/>
      <c r="G18" s="14"/>
      <c r="H18" s="14"/>
    </row>
    <row r="19" s="5" customFormat="1" ht="20.1" customHeight="1" spans="1:8">
      <c r="A19" s="13" t="s">
        <v>107</v>
      </c>
      <c r="B19" s="14">
        <f>SUM(B20:B23)</f>
        <v>39469</v>
      </c>
      <c r="C19" s="14">
        <f>SUM(C20:C23)</f>
        <v>90169</v>
      </c>
      <c r="D19" s="58">
        <f>SUM(D20:D23)</f>
        <v>104326</v>
      </c>
      <c r="E19" s="59" t="s">
        <v>114</v>
      </c>
      <c r="F19" s="14">
        <v>9890</v>
      </c>
      <c r="G19" s="14">
        <v>10390</v>
      </c>
      <c r="H19" s="14">
        <v>74605</v>
      </c>
    </row>
    <row r="20" s="5" customFormat="1" ht="20.1" customHeight="1" spans="1:8">
      <c r="A20" s="16" t="s">
        <v>109</v>
      </c>
      <c r="B20" s="14">
        <v>3730</v>
      </c>
      <c r="C20" s="19">
        <f>3847-102</f>
        <v>3745</v>
      </c>
      <c r="D20" s="58"/>
      <c r="E20" s="59" t="s">
        <v>116</v>
      </c>
      <c r="F20" s="14">
        <v>138406</v>
      </c>
      <c r="G20" s="14">
        <v>181863</v>
      </c>
      <c r="H20" s="14">
        <f>160179+50000</f>
        <v>210179</v>
      </c>
    </row>
    <row r="21" s="5" customFormat="1" ht="20.1" customHeight="1" spans="1:8">
      <c r="A21" s="16" t="s">
        <v>111</v>
      </c>
      <c r="B21" s="14">
        <v>13200</v>
      </c>
      <c r="C21" s="14">
        <v>63200</v>
      </c>
      <c r="D21" s="58">
        <v>32375</v>
      </c>
      <c r="E21" s="59" t="s">
        <v>117</v>
      </c>
      <c r="F21" s="14">
        <v>6984</v>
      </c>
      <c r="G21" s="14">
        <v>21797</v>
      </c>
      <c r="H21" s="14">
        <v>20538</v>
      </c>
    </row>
    <row r="22" s="5" customFormat="1" ht="20.1" customHeight="1" spans="1:8">
      <c r="A22" s="16" t="s">
        <v>113</v>
      </c>
      <c r="B22" s="14">
        <v>18148</v>
      </c>
      <c r="C22" s="63">
        <v>18833</v>
      </c>
      <c r="D22" s="58">
        <v>50154</v>
      </c>
      <c r="E22" s="64" t="s">
        <v>124</v>
      </c>
      <c r="F22" s="14"/>
      <c r="G22" s="14"/>
      <c r="H22" s="14"/>
    </row>
    <row r="23" s="5" customFormat="1" ht="20.1" customHeight="1" spans="1:8">
      <c r="A23" s="16" t="s">
        <v>115</v>
      </c>
      <c r="B23" s="14">
        <v>4391</v>
      </c>
      <c r="C23" s="14">
        <v>4391</v>
      </c>
      <c r="D23" s="58">
        <v>21797</v>
      </c>
      <c r="E23" s="64" t="s">
        <v>125</v>
      </c>
      <c r="F23" s="65"/>
      <c r="G23" s="65"/>
      <c r="H23" s="65"/>
    </row>
    <row r="24" s="5" customFormat="1" ht="20.1" customHeight="1" spans="1:8">
      <c r="A24" s="16"/>
      <c r="B24" s="14"/>
      <c r="C24" s="14"/>
      <c r="D24" s="58"/>
      <c r="E24" s="66"/>
      <c r="F24" s="65"/>
      <c r="G24" s="65"/>
      <c r="H24" s="65"/>
    </row>
    <row r="25" s="49" customFormat="1" ht="20.1" customHeight="1" spans="1:8">
      <c r="A25" s="67" t="s">
        <v>118</v>
      </c>
      <c r="B25" s="68">
        <f>B6+B19</f>
        <v>505569</v>
      </c>
      <c r="C25" s="68">
        <f>C6+C19</f>
        <v>651661</v>
      </c>
      <c r="D25" s="69">
        <f>D6+D19</f>
        <v>704295</v>
      </c>
      <c r="E25" s="70" t="s">
        <v>119</v>
      </c>
      <c r="F25" s="68">
        <f>F6+F17</f>
        <v>505569</v>
      </c>
      <c r="G25" s="68">
        <f>G6+G17</f>
        <v>651661</v>
      </c>
      <c r="H25" s="68">
        <f>H6+H17</f>
        <v>704295</v>
      </c>
    </row>
    <row r="26" s="5" customFormat="1" ht="20.1" customHeight="1" spans="1:8">
      <c r="A26"/>
      <c r="B26"/>
      <c r="C26"/>
      <c r="D26"/>
      <c r="E26"/>
      <c r="F26"/>
      <c r="G26"/>
      <c r="H26"/>
    </row>
    <row r="27" s="5" customFormat="1" ht="20.1" customHeight="1" spans="1:8">
      <c r="A27"/>
      <c r="B27"/>
      <c r="C27"/>
      <c r="D27"/>
      <c r="E27"/>
      <c r="F27"/>
      <c r="G27"/>
      <c r="H27"/>
    </row>
    <row r="28" s="5" customFormat="1" ht="20.1" customHeight="1" spans="1:8">
      <c r="A28"/>
      <c r="B28"/>
      <c r="C28"/>
      <c r="D28"/>
      <c r="E28"/>
      <c r="F28"/>
      <c r="G28"/>
      <c r="H28"/>
    </row>
    <row r="29" s="5" customFormat="1" ht="20.1" customHeight="1" spans="1:8">
      <c r="A29"/>
      <c r="B29"/>
      <c r="C29"/>
      <c r="D29"/>
      <c r="E29"/>
      <c r="F29"/>
      <c r="G29"/>
      <c r="H29"/>
    </row>
    <row r="30" s="5" customFormat="1" ht="20.1" customHeight="1" spans="1:8">
      <c r="A30"/>
      <c r="B30"/>
      <c r="C30"/>
      <c r="D30"/>
      <c r="E30"/>
      <c r="F30"/>
      <c r="G30"/>
      <c r="H30"/>
    </row>
    <row r="31" s="5" customFormat="1" ht="20.1" customHeight="1" spans="1:8">
      <c r="A31"/>
      <c r="B31"/>
      <c r="C31"/>
      <c r="D31"/>
      <c r="E31"/>
      <c r="F31"/>
      <c r="G31"/>
      <c r="H31"/>
    </row>
    <row r="32" s="5" customFormat="1" ht="20.1" customHeight="1" spans="1:8">
      <c r="A32"/>
      <c r="B32"/>
      <c r="C32"/>
      <c r="D32"/>
      <c r="E32"/>
      <c r="F32"/>
      <c r="G32"/>
      <c r="H32"/>
    </row>
    <row r="33" s="5" customFormat="1" ht="20.1" customHeight="1" spans="1:8">
      <c r="A33"/>
      <c r="B33"/>
      <c r="C33"/>
      <c r="D33"/>
      <c r="E33"/>
      <c r="F33"/>
      <c r="G33"/>
      <c r="H33"/>
    </row>
    <row r="34" s="5" customFormat="1" ht="20.1" customHeight="1" spans="1:8">
      <c r="A34"/>
      <c r="B34"/>
      <c r="C34"/>
      <c r="D34"/>
      <c r="E34"/>
      <c r="F34"/>
      <c r="G34"/>
      <c r="H34"/>
    </row>
    <row r="35" s="5" customFormat="1" ht="20.1" customHeight="1" spans="1:8">
      <c r="A35"/>
      <c r="B35"/>
      <c r="C35"/>
      <c r="D35"/>
      <c r="E35"/>
      <c r="F35"/>
      <c r="G35"/>
      <c r="H35"/>
    </row>
  </sheetData>
  <mergeCells count="3">
    <mergeCell ref="A2:H2"/>
    <mergeCell ref="A4:D4"/>
    <mergeCell ref="E4:H4"/>
  </mergeCells>
  <printOptions horizontalCentered="1"/>
  <pageMargins left="0.786805555555556" right="0.590277777777778" top="0.984027777777778" bottom="0.786805555555556" header="0.313888888888889" footer="0.313888888888889"/>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2" sqref="A2:F2"/>
    </sheetView>
  </sheetViews>
  <sheetFormatPr defaultColWidth="9" defaultRowHeight="14.25" outlineLevelRow="4" outlineLevelCol="5"/>
  <cols>
    <col min="1" max="1" width="10.375" customWidth="1"/>
    <col min="2" max="2" width="13" customWidth="1"/>
    <col min="3" max="3" width="16.875" customWidth="1"/>
    <col min="4" max="4" width="15.375" customWidth="1"/>
    <col min="5" max="5" width="13" customWidth="1"/>
    <col min="6" max="6" width="11" customWidth="1"/>
  </cols>
  <sheetData>
    <row r="1" s="1" customFormat="1" ht="20.1" customHeight="1" spans="1:1">
      <c r="A1" s="1" t="s">
        <v>10</v>
      </c>
    </row>
    <row r="2" s="41" customFormat="1" ht="45" customHeight="1" spans="1:6">
      <c r="A2" s="43" t="s">
        <v>126</v>
      </c>
      <c r="B2" s="43"/>
      <c r="C2" s="43"/>
      <c r="D2" s="43"/>
      <c r="E2" s="43"/>
      <c r="F2" s="43"/>
    </row>
    <row r="3" s="42" customFormat="1" ht="24.95" customHeight="1" spans="5:6">
      <c r="E3" s="10" t="s">
        <v>19</v>
      </c>
      <c r="F3" s="10"/>
    </row>
    <row r="4" s="4" customFormat="1" ht="39.95" customHeight="1" spans="1:6">
      <c r="A4" s="11" t="s">
        <v>85</v>
      </c>
      <c r="B4" s="12" t="s">
        <v>127</v>
      </c>
      <c r="C4" s="12" t="s">
        <v>128</v>
      </c>
      <c r="D4" s="12" t="s">
        <v>129</v>
      </c>
      <c r="E4" s="12" t="s">
        <v>130</v>
      </c>
      <c r="F4" s="11" t="s">
        <v>3</v>
      </c>
    </row>
    <row r="5" ht="35.1" customHeight="1" spans="1:6">
      <c r="A5" s="44" t="s">
        <v>131</v>
      </c>
      <c r="B5" s="45">
        <v>832367</v>
      </c>
      <c r="C5" s="46">
        <f>307746+7747</f>
        <v>315493</v>
      </c>
      <c r="D5" s="46">
        <v>31121</v>
      </c>
      <c r="E5" s="46">
        <v>832347</v>
      </c>
      <c r="F5" s="47"/>
    </row>
  </sheetData>
  <mergeCells count="2">
    <mergeCell ref="A2:F2"/>
    <mergeCell ref="E3:F3"/>
  </mergeCells>
  <printOptions horizontalCentered="1"/>
  <pageMargins left="0.786805555555556" right="0.590277777777778" top="0.984027777777778" bottom="0.786805555555556" header="0.313888888888889" footer="0.31388888888888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workbookViewId="0">
      <selection activeCell="A2" sqref="A2:C2"/>
    </sheetView>
  </sheetViews>
  <sheetFormatPr defaultColWidth="9" defaultRowHeight="14.25" outlineLevelCol="3"/>
  <cols>
    <col min="1" max="1" width="33.625" customWidth="1"/>
    <col min="2" max="2" width="11.625" customWidth="1"/>
    <col min="3" max="3" width="35.625" customWidth="1"/>
  </cols>
  <sheetData>
    <row r="1" s="1" customFormat="1" ht="24.95" customHeight="1" spans="1:1">
      <c r="A1" s="1" t="s">
        <v>12</v>
      </c>
    </row>
    <row r="2" s="2" customFormat="1" ht="45" customHeight="1" spans="1:4">
      <c r="A2" s="9" t="s">
        <v>132</v>
      </c>
      <c r="B2" s="9"/>
      <c r="C2" s="9"/>
      <c r="D2" s="40"/>
    </row>
    <row r="3" s="3" customFormat="1" ht="24.95" customHeight="1" spans="3:3">
      <c r="C3" s="10" t="s">
        <v>133</v>
      </c>
    </row>
    <row r="4" s="4" customFormat="1" ht="39.95" customHeight="1" spans="1:3">
      <c r="A4" s="11" t="s">
        <v>20</v>
      </c>
      <c r="B4" s="11" t="s">
        <v>134</v>
      </c>
      <c r="C4" s="11" t="s">
        <v>3</v>
      </c>
    </row>
    <row r="5" ht="24.95" customHeight="1" spans="1:3">
      <c r="A5" s="13" t="s">
        <v>135</v>
      </c>
      <c r="B5" s="19">
        <f>SUM(B6:B10)</f>
        <v>543650</v>
      </c>
      <c r="C5" s="13"/>
    </row>
    <row r="6" ht="24.95" customHeight="1" spans="1:3">
      <c r="A6" s="16" t="s">
        <v>136</v>
      </c>
      <c r="B6" s="19">
        <v>139031</v>
      </c>
      <c r="C6" s="13"/>
    </row>
    <row r="7" ht="24.95" customHeight="1" spans="1:3">
      <c r="A7" s="16" t="s">
        <v>137</v>
      </c>
      <c r="B7" s="19">
        <v>26000</v>
      </c>
      <c r="C7" s="13"/>
    </row>
    <row r="8" ht="24.95" customHeight="1" spans="1:3">
      <c r="A8" s="16" t="s">
        <v>138</v>
      </c>
      <c r="B8" s="19">
        <v>26285</v>
      </c>
      <c r="C8" s="13"/>
    </row>
    <row r="9" ht="24.95" customHeight="1" spans="1:3">
      <c r="A9" s="16" t="s">
        <v>139</v>
      </c>
      <c r="B9" s="19">
        <v>351334</v>
      </c>
      <c r="C9" s="13"/>
    </row>
    <row r="10" ht="24.95" customHeight="1" spans="1:3">
      <c r="A10" s="16" t="s">
        <v>140</v>
      </c>
      <c r="B10" s="19">
        <v>1000</v>
      </c>
      <c r="C10" s="13"/>
    </row>
    <row r="11" ht="24.95" customHeight="1" spans="1:3">
      <c r="A11" s="13" t="s">
        <v>141</v>
      </c>
      <c r="B11" s="19">
        <f>-10000</f>
        <v>-10000</v>
      </c>
      <c r="C11" s="13" t="s">
        <v>142</v>
      </c>
    </row>
    <row r="12" ht="24.95" customHeight="1" spans="1:3">
      <c r="A12" s="13" t="s">
        <v>143</v>
      </c>
      <c r="B12" s="19">
        <f>SUM(B13:B17)</f>
        <v>-19550</v>
      </c>
      <c r="C12" s="13"/>
    </row>
    <row r="13" ht="24.95" customHeight="1" spans="1:3">
      <c r="A13" s="16" t="s">
        <v>88</v>
      </c>
      <c r="B13" s="19">
        <f>-16300</f>
        <v>-16300</v>
      </c>
      <c r="C13" s="13" t="s">
        <v>144</v>
      </c>
    </row>
    <row r="14" ht="24.95" customHeight="1" spans="1:3">
      <c r="A14" s="16" t="s">
        <v>90</v>
      </c>
      <c r="B14" s="19">
        <f>-2250</f>
        <v>-2250</v>
      </c>
      <c r="C14" s="13" t="s">
        <v>144</v>
      </c>
    </row>
    <row r="15" ht="24.95" customHeight="1" spans="1:3">
      <c r="A15" s="16" t="s">
        <v>145</v>
      </c>
      <c r="B15" s="19"/>
      <c r="C15" s="13"/>
    </row>
    <row r="16" ht="24.95" customHeight="1" spans="1:3">
      <c r="A16" s="16" t="s">
        <v>146</v>
      </c>
      <c r="B16" s="19"/>
      <c r="C16" s="13"/>
    </row>
    <row r="17" ht="24.95" customHeight="1" spans="1:3">
      <c r="A17" s="16" t="s">
        <v>147</v>
      </c>
      <c r="B17" s="19">
        <v>-1000</v>
      </c>
      <c r="C17" s="13" t="s">
        <v>148</v>
      </c>
    </row>
    <row r="18" ht="24.95" customHeight="1" spans="1:3">
      <c r="A18" s="13" t="s">
        <v>149</v>
      </c>
      <c r="B18" s="19">
        <f>B5+B11+B12</f>
        <v>514100</v>
      </c>
      <c r="C18" s="13" t="s">
        <v>150</v>
      </c>
    </row>
    <row r="19" spans="1:3">
      <c r="A19" s="5"/>
      <c r="B19" s="5"/>
      <c r="C19" s="5"/>
    </row>
  </sheetData>
  <mergeCells count="1">
    <mergeCell ref="A2:C2"/>
  </mergeCells>
  <printOptions horizontalCentered="1"/>
  <pageMargins left="0.78740157480315" right="0.590551181102362" top="0.984251968503937" bottom="0.78740157480315" header="0.31496062992126" footer="0.31496062992126"/>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workbookViewId="0">
      <selection activeCell="C13" sqref="C13"/>
    </sheetView>
  </sheetViews>
  <sheetFormatPr defaultColWidth="9" defaultRowHeight="14.25" outlineLevelCol="3"/>
  <cols>
    <col min="1" max="1" width="32.875" customWidth="1"/>
    <col min="2" max="2" width="11.125" customWidth="1"/>
    <col min="3" max="3" width="31.625" customWidth="1"/>
    <col min="4" max="4" width="10.125" style="24" customWidth="1"/>
  </cols>
  <sheetData>
    <row r="1" s="1" customFormat="1" ht="24.95" customHeight="1" spans="1:4">
      <c r="A1" s="1" t="s">
        <v>14</v>
      </c>
      <c r="D1" s="25"/>
    </row>
    <row r="2" s="2" customFormat="1" ht="45" customHeight="1" spans="1:4">
      <c r="A2" s="9" t="s">
        <v>151</v>
      </c>
      <c r="B2" s="9"/>
      <c r="C2" s="9"/>
      <c r="D2" s="9"/>
    </row>
    <row r="3" s="3" customFormat="1" ht="24.95" customHeight="1" spans="3:4">
      <c r="C3" s="26" t="s">
        <v>19</v>
      </c>
      <c r="D3" s="26"/>
    </row>
    <row r="4" s="4" customFormat="1" ht="24.95" customHeight="1" spans="1:4">
      <c r="A4" s="11" t="s">
        <v>152</v>
      </c>
      <c r="B4" s="11" t="s">
        <v>134</v>
      </c>
      <c r="C4" s="12" t="s">
        <v>153</v>
      </c>
      <c r="D4" s="27" t="s">
        <v>3</v>
      </c>
    </row>
    <row r="5" s="5" customFormat="1" ht="24.95" customHeight="1" spans="1:4">
      <c r="A5" s="28" t="s">
        <v>154</v>
      </c>
      <c r="B5" s="14"/>
      <c r="C5" s="29"/>
      <c r="D5" s="30"/>
    </row>
    <row r="6" s="5" customFormat="1" ht="24.95" customHeight="1" spans="1:4">
      <c r="A6" s="31" t="s">
        <v>155</v>
      </c>
      <c r="B6" s="14">
        <v>3500</v>
      </c>
      <c r="C6" s="13"/>
      <c r="D6" s="32"/>
    </row>
    <row r="7" s="5" customFormat="1" ht="24.95" customHeight="1" spans="1:4">
      <c r="A7" s="31" t="s">
        <v>156</v>
      </c>
      <c r="B7" s="14">
        <f>SUM(B8:B14)</f>
        <v>3500</v>
      </c>
      <c r="C7" s="13"/>
      <c r="D7" s="33"/>
    </row>
    <row r="8" s="5" customFormat="1" ht="30" customHeight="1" spans="1:4">
      <c r="A8" s="34" t="s">
        <v>157</v>
      </c>
      <c r="B8" s="14"/>
      <c r="C8" s="13"/>
      <c r="D8" s="35"/>
    </row>
    <row r="9" s="5" customFormat="1" ht="30" customHeight="1" spans="1:4">
      <c r="A9" s="36" t="s">
        <v>158</v>
      </c>
      <c r="B9" s="14">
        <v>236</v>
      </c>
      <c r="C9" s="22" t="s">
        <v>159</v>
      </c>
      <c r="D9" s="35"/>
    </row>
    <row r="10" s="5" customFormat="1" ht="30" customHeight="1" spans="1:4">
      <c r="A10" s="37" t="s">
        <v>160</v>
      </c>
      <c r="B10" s="14">
        <v>281</v>
      </c>
      <c r="C10" s="22" t="s">
        <v>161</v>
      </c>
      <c r="D10" s="35"/>
    </row>
    <row r="11" s="5" customFormat="1" ht="75" customHeight="1" spans="1:4">
      <c r="A11" s="37" t="s">
        <v>162</v>
      </c>
      <c r="B11" s="14">
        <v>30</v>
      </c>
      <c r="C11" s="22" t="s">
        <v>163</v>
      </c>
      <c r="D11" s="35"/>
    </row>
    <row r="12" s="5" customFormat="1" ht="45" customHeight="1" spans="1:4">
      <c r="A12" s="37" t="s">
        <v>164</v>
      </c>
      <c r="B12" s="14">
        <v>1853</v>
      </c>
      <c r="C12" s="22" t="s">
        <v>165</v>
      </c>
      <c r="D12" s="35"/>
    </row>
    <row r="13" s="5" customFormat="1" ht="69.95" customHeight="1" spans="1:4">
      <c r="A13" s="37" t="s">
        <v>166</v>
      </c>
      <c r="B13" s="14">
        <v>800</v>
      </c>
      <c r="C13" s="22" t="s">
        <v>167</v>
      </c>
      <c r="D13" s="35"/>
    </row>
    <row r="14" s="5" customFormat="1" ht="30" customHeight="1" spans="1:4">
      <c r="A14" s="37" t="s">
        <v>168</v>
      </c>
      <c r="B14" s="14">
        <v>300</v>
      </c>
      <c r="C14" s="22" t="s">
        <v>169</v>
      </c>
      <c r="D14" s="35"/>
    </row>
    <row r="15" s="5" customFormat="1" ht="24.95" customHeight="1" spans="1:4">
      <c r="A15" s="38" t="s">
        <v>170</v>
      </c>
      <c r="B15" s="14">
        <f>B5+B6-B7</f>
        <v>0</v>
      </c>
      <c r="C15" s="13"/>
      <c r="D15" s="39"/>
    </row>
  </sheetData>
  <mergeCells count="2">
    <mergeCell ref="A2:D2"/>
    <mergeCell ref="C3:D3"/>
  </mergeCells>
  <printOptions horizontalCentered="1"/>
  <pageMargins left="0.786805555555556" right="0.590277777777778" top="0.984027777777778" bottom="0.786805555555556" header="0.313888888888889" footer="0.313888888888889"/>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workbookViewId="0">
      <selection activeCell="A2" sqref="A2:D2"/>
    </sheetView>
  </sheetViews>
  <sheetFormatPr defaultColWidth="9" defaultRowHeight="14.25" outlineLevelCol="3"/>
  <cols>
    <col min="1" max="1" width="26.625" customWidth="1"/>
    <col min="2" max="2" width="11.625" customWidth="1"/>
    <col min="3" max="3" width="31.625" style="7" customWidth="1"/>
    <col min="4" max="4" width="12.3666666666667" customWidth="1"/>
  </cols>
  <sheetData>
    <row r="1" s="1" customFormat="1" ht="24.95" customHeight="1" spans="1:3">
      <c r="A1" s="1" t="s">
        <v>16</v>
      </c>
      <c r="C1" s="8"/>
    </row>
    <row r="2" s="2" customFormat="1" ht="45" customHeight="1" spans="1:4">
      <c r="A2" s="9" t="s">
        <v>171</v>
      </c>
      <c r="B2" s="9"/>
      <c r="C2" s="9"/>
      <c r="D2" s="9"/>
    </row>
    <row r="3" s="3" customFormat="1" ht="24.95" customHeight="1" spans="3:4">
      <c r="C3" s="10" t="s">
        <v>19</v>
      </c>
      <c r="D3" s="10"/>
    </row>
    <row r="4" s="4" customFormat="1" ht="30" customHeight="1" spans="1:4">
      <c r="A4" s="11" t="s">
        <v>152</v>
      </c>
      <c r="B4" s="11" t="s">
        <v>134</v>
      </c>
      <c r="C4" s="12" t="s">
        <v>153</v>
      </c>
      <c r="D4" s="11" t="s">
        <v>3</v>
      </c>
    </row>
    <row r="5" s="5" customFormat="1" ht="30" customHeight="1" spans="1:4">
      <c r="A5" s="13" t="s">
        <v>172</v>
      </c>
      <c r="B5" s="14"/>
      <c r="C5" s="15"/>
      <c r="D5" s="13"/>
    </row>
    <row r="6" s="5" customFormat="1" ht="30" customHeight="1" spans="1:4">
      <c r="A6" s="13" t="s">
        <v>155</v>
      </c>
      <c r="B6" s="14">
        <f>SUM(B7:B9)</f>
        <v>4760</v>
      </c>
      <c r="C6" s="15"/>
      <c r="D6" s="13"/>
    </row>
    <row r="7" s="5" customFormat="1" ht="30" customHeight="1" spans="1:4">
      <c r="A7" s="16" t="s">
        <v>173</v>
      </c>
      <c r="B7" s="14">
        <v>3900</v>
      </c>
      <c r="C7" s="15"/>
      <c r="D7" s="17" t="s">
        <v>174</v>
      </c>
    </row>
    <row r="8" s="5" customFormat="1" ht="30" customHeight="1" spans="1:4">
      <c r="A8" s="16" t="s">
        <v>175</v>
      </c>
      <c r="B8" s="14">
        <v>860</v>
      </c>
      <c r="C8" s="15"/>
      <c r="D8" s="17" t="s">
        <v>176</v>
      </c>
    </row>
    <row r="9" s="5" customFormat="1" ht="30" customHeight="1" spans="1:4">
      <c r="A9" s="16" t="s">
        <v>177</v>
      </c>
      <c r="B9" s="14"/>
      <c r="C9" s="15"/>
      <c r="D9" s="13"/>
    </row>
    <row r="10" s="5" customFormat="1" ht="30" customHeight="1" spans="1:4">
      <c r="A10" s="13" t="s">
        <v>156</v>
      </c>
      <c r="B10" s="14">
        <f>SUM(B11:B13)</f>
        <v>4760</v>
      </c>
      <c r="C10" s="15"/>
      <c r="D10" s="13"/>
    </row>
    <row r="11" s="6" customFormat="1" ht="58" customHeight="1" spans="1:4">
      <c r="A11" s="18" t="s">
        <v>178</v>
      </c>
      <c r="B11" s="19">
        <v>2890</v>
      </c>
      <c r="C11" s="20" t="s">
        <v>179</v>
      </c>
      <c r="D11" s="21"/>
    </row>
    <row r="12" s="5" customFormat="1" ht="39" customHeight="1" spans="1:4">
      <c r="A12" s="16" t="s">
        <v>180</v>
      </c>
      <c r="B12" s="14">
        <v>1680</v>
      </c>
      <c r="C12" s="22" t="s">
        <v>181</v>
      </c>
      <c r="D12" s="13"/>
    </row>
    <row r="13" s="5" customFormat="1" ht="65" customHeight="1" spans="1:4">
      <c r="A13" s="16" t="s">
        <v>182</v>
      </c>
      <c r="B13" s="14">
        <v>190</v>
      </c>
      <c r="C13" s="22" t="s">
        <v>183</v>
      </c>
      <c r="D13" s="13"/>
    </row>
    <row r="14" s="5" customFormat="1" ht="30" customHeight="1" spans="1:4">
      <c r="A14" s="13" t="s">
        <v>170</v>
      </c>
      <c r="B14" s="14">
        <f>B5+B6-B10</f>
        <v>0</v>
      </c>
      <c r="C14" s="15"/>
      <c r="D14" s="13"/>
    </row>
    <row r="15" s="5" customFormat="1" ht="13.5" spans="3:3">
      <c r="C15" s="23"/>
    </row>
  </sheetData>
  <mergeCells count="2">
    <mergeCell ref="A2:D2"/>
    <mergeCell ref="C3:D3"/>
  </mergeCells>
  <printOptions horizontalCentered="1"/>
  <pageMargins left="0.786805555555556" right="0.590277777777778" top="0.984027777777778" bottom="0.786805555555556" header="0.314583333333333" footer="0.314583333333333"/>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目录</vt:lpstr>
      <vt:lpstr>表1</vt:lpstr>
      <vt:lpstr>表2</vt:lpstr>
      <vt:lpstr>表3</vt:lpstr>
      <vt:lpstr>表3-原表</vt:lpstr>
      <vt:lpstr>表4</vt:lpstr>
      <vt:lpstr>表5</vt:lpstr>
      <vt:lpstr>表6</vt:lpstr>
      <vt:lpstr>表7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碧海蓝天</cp:lastModifiedBy>
  <dcterms:created xsi:type="dcterms:W3CDTF">2022-01-12T09:34:00Z</dcterms:created>
  <cp:lastPrinted>2022-12-29T03:27:00Z</cp:lastPrinted>
  <dcterms:modified xsi:type="dcterms:W3CDTF">2024-02-01T01:56:25Z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M_Doc_Temp_ID">
    <vt:lpwstr>17e3b612</vt:lpwstr>
  </property>
  <property fmtid="{D5CDD505-2E9C-101B-9397-08002B2CF9AE}" pid="3" name="KSOProductBuildVer">
    <vt:lpwstr>2052-12.1.0.16120</vt:lpwstr>
  </property>
  <property fmtid="{D5CDD505-2E9C-101B-9397-08002B2CF9AE}" pid="4" name="ICV">
    <vt:lpwstr>968D095656FC4B7A844E022AA9E2E946_12</vt:lpwstr>
  </property>
</Properties>
</file>