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activeTab="5"/>
  </bookViews>
  <sheets>
    <sheet name="表1" sheetId="1" r:id="rId1"/>
    <sheet name="表2" sheetId="3" r:id="rId2"/>
    <sheet name="表3" sheetId="10" r:id="rId3"/>
    <sheet name="表3-原表" sheetId="4" state="hidden" r:id="rId4"/>
    <sheet name="表4" sheetId="9" r:id="rId5"/>
    <sheet name="表5" sheetId="5" r:id="rId6"/>
    <sheet name="表6" sheetId="7" r:id="rId7"/>
    <sheet name="表7" sheetId="8" r:id="rId8"/>
    <sheet name="2025年政府性基金节余明细（非打印表）" sheetId="18" state="hidden" r:id="rId9"/>
    <sheet name="2026年政府性基金节余明细（非打印表） (2)" sheetId="19" state="hidden" r:id="rId10"/>
    <sheet name="2023还本付息(非打印表）" sheetId="15" state="hidden" r:id="rId11"/>
    <sheet name="年终结余2 (非打印表)" sheetId="16" state="hidden" r:id="rId12"/>
    <sheet name="年终结余 (非打印表）" sheetId="17" state="hidden" r:id="rId13"/>
  </sheets>
  <externalReferences>
    <externalReference r:id="rId15"/>
    <externalReference r:id="rId16"/>
  </externalReferences>
  <definedNames>
    <definedName name="_xlnm._FilterDatabase" localSheetId="10" hidden="1">'2023还本付息(非打印表）'!$B$6:$H$22</definedName>
    <definedName name="_xlnm.Print_Area" localSheetId="0">表1!$A$1:$H$19</definedName>
    <definedName name="_xlnm.Print_Area" localSheetId="1">表2!$A$1:$H$42</definedName>
    <definedName name="_xlnm.Print_Area" localSheetId="2">表3!$A$1:$H$31</definedName>
    <definedName name="_xlnm.Print_Area" localSheetId="5">表5!$A$1:$C$17</definedName>
    <definedName name="_xlnm.Print_Area" localSheetId="7">表7!$A$1:$D$16</definedName>
    <definedName name="_xlnm.Print_Area" localSheetId="4">表4!$A$1:$F$5</definedName>
    <definedName name="_Fill" hidden="1">[1]eqpmad2!#REF!</definedName>
    <definedName name="_Order1" hidden="1">255</definedName>
    <definedName name="_Order2" hidden="1">255</definedName>
    <definedName name="人员2013"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19" authorId="0">
      <text>
        <r>
          <rPr>
            <b/>
            <sz val="9"/>
            <rFont val="宋体"/>
            <charset val="134"/>
          </rPr>
          <t>Administrator:</t>
        </r>
        <r>
          <rPr>
            <sz val="9"/>
            <rFont val="宋体"/>
            <charset val="134"/>
          </rPr>
          <t xml:space="preserve">
单位偿还利息35360+预估发行费200
</t>
        </r>
      </text>
    </comment>
  </commentList>
</comments>
</file>

<file path=xl/comments2.xml><?xml version="1.0" encoding="utf-8"?>
<comments xmlns="http://schemas.openxmlformats.org/spreadsheetml/2006/main">
  <authors>
    <author>admin</author>
  </authors>
  <commentList>
    <comment ref="C22" authorId="0">
      <text>
        <r>
          <rPr>
            <b/>
            <sz val="9"/>
            <rFont val="宋体"/>
            <charset val="134"/>
          </rPr>
          <t>admin:</t>
        </r>
        <r>
          <rPr>
            <sz val="9"/>
            <rFont val="宋体"/>
            <charset val="134"/>
          </rPr>
          <t xml:space="preserve">
其他资金调入（存量）</t>
        </r>
      </text>
    </comment>
  </commentList>
</comments>
</file>

<file path=xl/comments3.xml><?xml version="1.0" encoding="utf-8"?>
<comments xmlns="http://schemas.openxmlformats.org/spreadsheetml/2006/main">
  <authors>
    <author>Administrator</author>
  </authors>
  <commentList>
    <comment ref="AE8" authorId="0">
      <text>
        <r>
          <rPr>
            <sz val="9"/>
            <rFont val="宋体"/>
            <charset val="134"/>
          </rPr>
          <t xml:space="preserve">=调入公共预算57440+财力还本21240+财力付息4014+财力承担发行费50
</t>
        </r>
      </text>
    </comment>
    <comment ref="AB12" authorId="0">
      <text>
        <r>
          <rPr>
            <sz val="9"/>
            <rFont val="宋体"/>
            <charset val="134"/>
          </rPr>
          <t xml:space="preserve">应收各单位专项债利息收入
</t>
        </r>
      </text>
    </comment>
    <comment ref="AC12" authorId="0">
      <text>
        <r>
          <rPr>
            <sz val="9"/>
            <rFont val="宋体"/>
            <charset val="134"/>
          </rPr>
          <t>财力付息4014=33369-29355+本级承担再融资发行费50</t>
        </r>
      </text>
    </comment>
    <comment ref="AD12" authorId="0">
      <text>
        <r>
          <rPr>
            <b/>
            <sz val="9"/>
            <rFont val="宋体"/>
            <charset val="134"/>
          </rPr>
          <t>=应付省厅利息支出33369+发行费230</t>
        </r>
        <r>
          <rPr>
            <sz val="9"/>
            <rFont val="宋体"/>
            <charset val="134"/>
          </rPr>
          <t xml:space="preserve">
</t>
        </r>
      </text>
    </comment>
    <comment ref="AB23" authorId="0">
      <text>
        <r>
          <rPr>
            <sz val="9"/>
            <rFont val="宋体"/>
            <charset val="134"/>
          </rPr>
          <t xml:space="preserve">再融资专项债收入
</t>
        </r>
      </text>
    </comment>
    <comment ref="AC23" authorId="0">
      <text>
        <r>
          <rPr>
            <sz val="9"/>
            <rFont val="宋体"/>
            <charset val="134"/>
          </rPr>
          <t xml:space="preserve">财力还本21240=52166-30926
</t>
        </r>
      </text>
    </comment>
    <comment ref="AD23" authorId="0">
      <text>
        <r>
          <rPr>
            <b/>
            <sz val="9"/>
            <rFont val="宋体"/>
            <charset val="134"/>
          </rPr>
          <t>2025年专项债还本支出</t>
        </r>
        <r>
          <rPr>
            <sz val="9"/>
            <rFont val="宋体"/>
            <charset val="134"/>
          </rPr>
          <t xml:space="preserve">
</t>
        </r>
      </text>
    </comment>
  </commentList>
</comments>
</file>

<file path=xl/comments4.xml><?xml version="1.0" encoding="utf-8"?>
<comments xmlns="http://schemas.openxmlformats.org/spreadsheetml/2006/main">
  <authors>
    <author>Administrator</author>
    <author>admin</author>
  </authors>
  <commentList>
    <comment ref="AK8" authorId="0">
      <text>
        <r>
          <rPr>
            <sz val="9"/>
            <rFont val="宋体"/>
            <charset val="134"/>
          </rPr>
          <t xml:space="preserve">=调入公共预算57440+财力还本21240+财力付息4014+财力承担发行费50
</t>
        </r>
      </text>
    </comment>
    <comment ref="AT10" authorId="1">
      <text>
        <r>
          <rPr>
            <b/>
            <sz val="9"/>
            <rFont val="宋体"/>
            <charset val="134"/>
          </rPr>
          <t>admin:</t>
        </r>
        <r>
          <rPr>
            <sz val="9"/>
            <rFont val="宋体"/>
            <charset val="134"/>
          </rPr>
          <t xml:space="preserve">
900，专列债务转贷支出
</t>
        </r>
      </text>
    </comment>
    <comment ref="AT11" authorId="1">
      <text>
        <r>
          <rPr>
            <b/>
            <sz val="9"/>
            <rFont val="宋体"/>
            <charset val="134"/>
          </rPr>
          <t>admin:</t>
        </r>
        <r>
          <rPr>
            <sz val="9"/>
            <rFont val="宋体"/>
            <charset val="134"/>
          </rPr>
          <t xml:space="preserve">
36500，专列债务转贷支出</t>
        </r>
      </text>
    </comment>
    <comment ref="AD14" authorId="0">
      <text>
        <r>
          <rPr>
            <sz val="9"/>
            <rFont val="宋体"/>
            <charset val="134"/>
          </rPr>
          <t xml:space="preserve">从一般公共预算存量资金调入
</t>
        </r>
      </text>
    </comment>
    <comment ref="AH14" authorId="0">
      <text>
        <r>
          <rPr>
            <sz val="9"/>
            <rFont val="宋体"/>
            <charset val="134"/>
          </rPr>
          <t xml:space="preserve">应收各单位专项债利息收入
</t>
        </r>
      </text>
    </comment>
    <comment ref="AI14" authorId="0">
      <text>
        <r>
          <rPr>
            <sz val="9"/>
            <rFont val="宋体"/>
            <charset val="134"/>
          </rPr>
          <t>财力付息4014=33369-29355+本级承担再融资发行费50</t>
        </r>
      </text>
    </comment>
    <comment ref="AJ14" authorId="0">
      <text>
        <r>
          <rPr>
            <b/>
            <sz val="9"/>
            <rFont val="宋体"/>
            <charset val="134"/>
          </rPr>
          <t>=应付省厅利息支出33369+发行费230</t>
        </r>
        <r>
          <rPr>
            <sz val="9"/>
            <rFont val="宋体"/>
            <charset val="134"/>
          </rPr>
          <t xml:space="preserve">
</t>
        </r>
      </text>
    </comment>
    <comment ref="AG24" authorId="1">
      <text>
        <r>
          <rPr>
            <b/>
            <sz val="9"/>
            <rFont val="宋体"/>
            <charset val="134"/>
          </rPr>
          <t>admin:</t>
        </r>
        <r>
          <rPr>
            <sz val="9"/>
            <rFont val="宋体"/>
            <charset val="134"/>
          </rPr>
          <t xml:space="preserve">
科学2580；卫健424；城乡7800；资源1122.6</t>
        </r>
      </text>
    </comment>
    <comment ref="AM24" authorId="1">
      <text>
        <r>
          <rPr>
            <b/>
            <sz val="9"/>
            <rFont val="宋体"/>
            <charset val="134"/>
          </rPr>
          <t>admin:</t>
        </r>
        <r>
          <rPr>
            <sz val="9"/>
            <rFont val="宋体"/>
            <charset val="134"/>
          </rPr>
          <t xml:space="preserve">
资源4477；城乡10800；住房195</t>
        </r>
      </text>
    </comment>
    <comment ref="AR24" authorId="1">
      <text>
        <r>
          <rPr>
            <b/>
            <sz val="9"/>
            <rFont val="宋体"/>
            <charset val="134"/>
          </rPr>
          <t>admin:</t>
        </r>
        <r>
          <rPr>
            <sz val="9"/>
            <rFont val="宋体"/>
            <charset val="134"/>
          </rPr>
          <t xml:space="preserve">
资源4557；城乡10800；住房225</t>
        </r>
      </text>
    </comment>
    <comment ref="AT24" authorId="1">
      <text>
        <r>
          <rPr>
            <b/>
            <sz val="9"/>
            <rFont val="宋体"/>
            <charset val="134"/>
          </rPr>
          <t>admin:</t>
        </r>
        <r>
          <rPr>
            <sz val="9"/>
            <rFont val="宋体"/>
            <charset val="134"/>
          </rPr>
          <t xml:space="preserve">
科技2580；卫生424；城乡7342；资源3363
</t>
        </r>
      </text>
    </comment>
    <comment ref="AY24" authorId="1">
      <text>
        <r>
          <rPr>
            <b/>
            <sz val="9"/>
            <rFont val="宋体"/>
            <charset val="134"/>
          </rPr>
          <t>admin:</t>
        </r>
        <r>
          <rPr>
            <sz val="9"/>
            <rFont val="宋体"/>
            <charset val="134"/>
          </rPr>
          <t xml:space="preserve">
科技2580；卫生424；城乡3714；资源2856</t>
        </r>
      </text>
    </comment>
    <comment ref="AH27" authorId="0">
      <text>
        <r>
          <rPr>
            <sz val="9"/>
            <rFont val="宋体"/>
            <charset val="134"/>
          </rPr>
          <t xml:space="preserve">再融资专项债收入
</t>
        </r>
      </text>
    </comment>
    <comment ref="AI27" authorId="0">
      <text>
        <r>
          <rPr>
            <sz val="9"/>
            <rFont val="宋体"/>
            <charset val="134"/>
          </rPr>
          <t xml:space="preserve">财力还本21240=52166-30926
</t>
        </r>
      </text>
    </comment>
    <comment ref="AJ27" authorId="0">
      <text>
        <r>
          <rPr>
            <b/>
            <sz val="9"/>
            <rFont val="宋体"/>
            <charset val="134"/>
          </rPr>
          <t>2025年专项债还本支出</t>
        </r>
        <r>
          <rPr>
            <sz val="9"/>
            <rFont val="宋体"/>
            <charset val="134"/>
          </rPr>
          <t xml:space="preserve">
</t>
        </r>
      </text>
    </comment>
  </commentList>
</comments>
</file>

<file path=xl/comments5.xml><?xml version="1.0" encoding="utf-8"?>
<comments xmlns="http://schemas.openxmlformats.org/spreadsheetml/2006/main">
  <authors>
    <author>Administrator</author>
  </authors>
  <commentList>
    <comment ref="X10" authorId="0">
      <text>
        <r>
          <rPr>
            <sz val="9"/>
            <rFont val="宋体"/>
            <charset val="134"/>
          </rPr>
          <t xml:space="preserve">从一般公共预算调入
</t>
        </r>
      </text>
    </comment>
  </commentList>
</comments>
</file>

<file path=xl/sharedStrings.xml><?xml version="1.0" encoding="utf-8"?>
<sst xmlns="http://schemas.openxmlformats.org/spreadsheetml/2006/main" count="584" uniqueCount="262">
  <si>
    <t>表1</t>
  </si>
  <si>
    <t>2025-2026年政府性基金预算收入表</t>
  </si>
  <si>
    <t>单位：万元</t>
  </si>
  <si>
    <t>收入项目</t>
  </si>
  <si>
    <t>2025年
调整预算数</t>
  </si>
  <si>
    <t>2025年
执行数</t>
  </si>
  <si>
    <t>2026年
预算数</t>
  </si>
  <si>
    <t>增幅%</t>
  </si>
  <si>
    <t>12.22日数据</t>
  </si>
  <si>
    <t>差额</t>
  </si>
  <si>
    <t>收入合计</t>
  </si>
  <si>
    <t>一、国有土地收益基金收入</t>
  </si>
  <si>
    <t>二、农业土地开发资金收入</t>
  </si>
  <si>
    <t>三、国有土地使用权出让收入</t>
  </si>
  <si>
    <t>土地出让价款收入</t>
  </si>
  <si>
    <t>补缴的土地价款</t>
  </si>
  <si>
    <t>划拨土地收入</t>
  </si>
  <si>
    <t>缴纳新增建设用地土地有偿使用费</t>
  </si>
  <si>
    <t>其他土地出让收入</t>
  </si>
  <si>
    <t>四、城市基础设施配套费收入</t>
  </si>
  <si>
    <t>五、污水处理费收入</t>
  </si>
  <si>
    <t>六、其他政府性基金收入</t>
  </si>
  <si>
    <t>七、专项债务对应项目专项收入</t>
  </si>
  <si>
    <t xml:space="preserve">  国有土地使用权出让金专项债务对应项目专项收入  </t>
  </si>
  <si>
    <t xml:space="preserve">  其他政府性基金专项债务对应项目专项收入  </t>
  </si>
  <si>
    <t>表2</t>
  </si>
  <si>
    <t>2025-2026年政府性基金预算支出表</t>
  </si>
  <si>
    <t>支出项目</t>
  </si>
  <si>
    <t>支出合计</t>
  </si>
  <si>
    <t>一、科学技术支出</t>
  </si>
  <si>
    <t>超长期特别国债安排的支出</t>
  </si>
  <si>
    <t>二、文化旅游体育与传媒支出</t>
  </si>
  <si>
    <t>国家电影事业发展专项资金安排的支出</t>
  </si>
  <si>
    <t>旅游发展基金支出</t>
  </si>
  <si>
    <t>三、卫生健康支出</t>
  </si>
  <si>
    <t xml:space="preserve">    超长期特别国债安排的支出</t>
  </si>
  <si>
    <t>四、城乡社区支出</t>
  </si>
  <si>
    <t>国有土地使用权出让收入安排的支出</t>
  </si>
  <si>
    <t>征地和拆迁补偿支出</t>
  </si>
  <si>
    <t>土地开发支出</t>
  </si>
  <si>
    <t>城市建设支出</t>
  </si>
  <si>
    <t>农村基础设施建设支出</t>
  </si>
  <si>
    <t>补助被征地农民支出</t>
  </si>
  <si>
    <t>土地出让业务支出</t>
  </si>
  <si>
    <t>其他国有土地使用权出让收入安排的支出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</si>
  <si>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</si>
  <si>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</si>
  <si>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</si>
  <si>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</si>
  <si>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</si>
  <si>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</si>
  <si>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国有土地使用权出让收入对应专项债务收入安排的支出</t>
  </si>
  <si>
    <t>五、农林水支出</t>
  </si>
  <si>
    <t>大中型水库库区基金安排的支出</t>
  </si>
  <si>
    <t>国家重大水利工程建设基金安排的支出</t>
  </si>
  <si>
    <t>大中型水库移民后期扶持基金支出</t>
  </si>
  <si>
    <t>六、资源勘探工业信息等支出</t>
  </si>
  <si>
    <t>七、住房保障支出</t>
  </si>
  <si>
    <t>八、其他支出</t>
  </si>
  <si>
    <t>其他政府性基金及对应专项债务收入安排的支出</t>
  </si>
  <si>
    <t>彩票公益金安排的支出</t>
  </si>
  <si>
    <t>九、债务付息支出</t>
  </si>
  <si>
    <t>十、债务发行费用支出</t>
  </si>
  <si>
    <t>表3</t>
  </si>
  <si>
    <t>2025-2026年政府性基金预算收支平衡表</t>
  </si>
  <si>
    <t>收              入</t>
  </si>
  <si>
    <t>支              出</t>
  </si>
  <si>
    <t>项目</t>
  </si>
  <si>
    <t>一、政府性基金收入</t>
  </si>
  <si>
    <t>一、政府性基金支出</t>
  </si>
  <si>
    <t>1.国有土地收益基金收入</t>
  </si>
  <si>
    <t>1.科学技术支出</t>
  </si>
  <si>
    <t>2.农业土地开发资金收入</t>
  </si>
  <si>
    <t>2.文化旅游体育与传媒支出</t>
  </si>
  <si>
    <t>3.国有土地使用权出让收入</t>
  </si>
  <si>
    <t>3.卫生健康支出</t>
  </si>
  <si>
    <t xml:space="preserve">  土地出让价款收入</t>
  </si>
  <si>
    <t>4.城乡社区支出</t>
  </si>
  <si>
    <t xml:space="preserve">  补缴的土地价款</t>
  </si>
  <si>
    <t xml:space="preserve">  划拨土地收入</t>
  </si>
  <si>
    <t xml:space="preserve">  缴纳新增建设用地土地有偿使用费</t>
  </si>
  <si>
    <t xml:space="preserve">  其他土地出让收入</t>
  </si>
  <si>
    <t>4.城市基础设施配套费收入</t>
  </si>
  <si>
    <t>5.污水处理费收入</t>
  </si>
  <si>
    <t>6.其他政府性基金收入</t>
  </si>
  <si>
    <t>7.专项债务对应项目专项收入</t>
  </si>
  <si>
    <t>二、转移性收入</t>
  </si>
  <si>
    <t>1.政府性基金转移收入</t>
  </si>
  <si>
    <t>5.农林水支出</t>
  </si>
  <si>
    <t>2.专项债券转贷收入</t>
  </si>
  <si>
    <t>6.资源勘探工业信息等支出</t>
  </si>
  <si>
    <t>3.调入资金</t>
  </si>
  <si>
    <t>7.住房保障支出</t>
  </si>
  <si>
    <t>4.上年结余收入</t>
  </si>
  <si>
    <t>8.其他支出</t>
  </si>
  <si>
    <t>9.债务付息支出</t>
  </si>
  <si>
    <t>10.债务发行费用支出</t>
  </si>
  <si>
    <t>二、转移性支出</t>
  </si>
  <si>
    <t>1.政府性基金转移支付支出</t>
  </si>
  <si>
    <t>2.专项债券还本支出</t>
  </si>
  <si>
    <t>3.调出资金</t>
  </si>
  <si>
    <t>4.年终结余</t>
  </si>
  <si>
    <t>收入总计</t>
  </si>
  <si>
    <t>支出总计</t>
  </si>
  <si>
    <t>2021-2022年政府性基金预算收支平衡表</t>
  </si>
  <si>
    <t>支                    出</t>
  </si>
  <si>
    <t>2021年
调整预算数</t>
  </si>
  <si>
    <t>2021年
执行数</t>
  </si>
  <si>
    <t>2022年
预算数</t>
  </si>
  <si>
    <t>1.文化旅游体育与传媒支出</t>
  </si>
  <si>
    <t>2.社会保障和就业支出</t>
  </si>
  <si>
    <t>3.城乡社区支出</t>
  </si>
  <si>
    <t>4.农林水支出</t>
  </si>
  <si>
    <t>5.其他支出</t>
  </si>
  <si>
    <t>6.债务付息支出</t>
  </si>
  <si>
    <t>7.债务发行费用支出</t>
  </si>
  <si>
    <t xml:space="preserve">   减：结转下年支出</t>
  </si>
  <si>
    <t xml:space="preserve">       累计净结余</t>
  </si>
  <si>
    <t>表4</t>
  </si>
  <si>
    <t>2025年本级政府专项债务限额和余额情况表</t>
  </si>
  <si>
    <t>2025年
专项债务限额</t>
  </si>
  <si>
    <t>2025年
专项债务转贷额</t>
  </si>
  <si>
    <t>2025年专项
债务偿还本金额</t>
  </si>
  <si>
    <t>2025年末
专项债务余额</t>
  </si>
  <si>
    <t>备注</t>
  </si>
  <si>
    <t>大冶市本级</t>
  </si>
  <si>
    <t>表5</t>
  </si>
  <si>
    <t>2026年国有土地使用权出让收入计划表</t>
  </si>
  <si>
    <t>2026年预算</t>
  </si>
  <si>
    <t>一、国有土地使用权出让毛收入</t>
  </si>
  <si>
    <t>1.商住项目收入</t>
  </si>
  <si>
    <t>2.工业项目收入</t>
  </si>
  <si>
    <t>3.历年清欠收入</t>
  </si>
  <si>
    <t>4.其他项目收入</t>
  </si>
  <si>
    <t>二、缴纳新增建设用地有偿使用费</t>
  </si>
  <si>
    <t>上缴省级，单独列示</t>
  </si>
  <si>
    <t>三、国有土地出让各项计提收入</t>
  </si>
  <si>
    <t>单独列示</t>
  </si>
  <si>
    <t>3.教育资金收入</t>
  </si>
  <si>
    <t>4.农田水利建设资金收入</t>
  </si>
  <si>
    <t>5.廉租房保障资金收入</t>
  </si>
  <si>
    <t>四、国有土地使用权出让净收入</t>
  </si>
  <si>
    <t>表6</t>
  </si>
  <si>
    <t>2026年城市基础设施配套费收支计划表</t>
  </si>
  <si>
    <t>项目名称</t>
  </si>
  <si>
    <t>计算说明</t>
  </si>
  <si>
    <t>一、上年结余</t>
  </si>
  <si>
    <t>二、本年收入</t>
  </si>
  <si>
    <t>三、本年支出</t>
  </si>
  <si>
    <t xml:space="preserve">    1.乡镇国土空间总体规划编制经费</t>
  </si>
  <si>
    <t>合同价590万元，已支付177万元，预计2026年支付0万元。</t>
  </si>
  <si>
    <t xml:space="preserve">    2.市国土空间总体规划编制经费</t>
  </si>
  <si>
    <t>合同价785万元，已支付548万元，预计2026年支付237万元。</t>
  </si>
  <si>
    <t xml:space="preserve">    3.国土空间规划城市体检评估经费</t>
  </si>
  <si>
    <t>省自然资源厅“各市（州）自然资源主管部门要结合“三区三线”划定成果及
市县级国土空间总体规划编制工作，组织市（州）本级及所辖县（市、区）同步开展 国土空间规划城市体检评估工作。”</t>
  </si>
  <si>
    <t xml:space="preserve">    4.市中心城区国土空间详细规划编制项目</t>
  </si>
  <si>
    <t xml:space="preserve">    5.城市环境卫生</t>
  </si>
  <si>
    <t>根据黄石市关于生活垃圾焚烧厂调整垃圾处理费问题的专题会议规定的标准（垃圾处理费63.28元/吨、餐厨垃圾处理费210元/吨、渗漏液150元/吨）和垃圾处理量预计资金需求900万元</t>
  </si>
  <si>
    <t xml:space="preserve">    6.其他由配套费安排的支出</t>
  </si>
  <si>
    <t>四、年终结余</t>
  </si>
  <si>
    <t xml:space="preserve"> -   </t>
  </si>
  <si>
    <t>表7</t>
  </si>
  <si>
    <t>2026年污水处理费收支计划表</t>
  </si>
  <si>
    <t>一、上年结转</t>
  </si>
  <si>
    <t>1.大冶市域内污水处理费</t>
  </si>
  <si>
    <t>水务集团代征</t>
  </si>
  <si>
    <t>2.铁山和下陆污水处理费</t>
  </si>
  <si>
    <t>城管局征收，黄石转移支付结算</t>
  </si>
  <si>
    <t>3.其他收入</t>
  </si>
  <si>
    <t>1.乡镇污水处理费</t>
  </si>
  <si>
    <t>政府性基金列支1589万元，其余从一般公共预算中安排。</t>
  </si>
  <si>
    <t>2.市城南污水处理厂</t>
  </si>
  <si>
    <t>按每月污水处理费135万元计算，全年预计1620万元。</t>
  </si>
  <si>
    <t>3.城西北生活水厂</t>
  </si>
  <si>
    <t>该厂处理铁山及下陆来冶污水，按照2025年度来冶水量及其基本单价计算，全年预计3196万元。</t>
  </si>
  <si>
    <t>4.代征手续费</t>
  </si>
  <si>
    <t>水务集团代征城区污水处理费4%手续费3900*4%=156万元。</t>
  </si>
  <si>
    <t>5.新增污水厂支出及其他支出</t>
  </si>
  <si>
    <t>一般公共预算列支</t>
  </si>
  <si>
    <t>大箕铺污水厂二期预计2026年度投产</t>
  </si>
  <si>
    <t>政府性基金调整预算明细项目表</t>
  </si>
  <si>
    <t>2021年决算</t>
  </si>
  <si>
    <t>2022年决算</t>
  </si>
  <si>
    <t>2023年调整预算</t>
  </si>
  <si>
    <t>2023年决算</t>
  </si>
  <si>
    <t>2024年调整预算</t>
  </si>
  <si>
    <t>2024年执行数</t>
  </si>
  <si>
    <t>2025年预算数</t>
  </si>
  <si>
    <t>余额</t>
  </si>
  <si>
    <t>收入</t>
  </si>
  <si>
    <t>调入</t>
  </si>
  <si>
    <t>支出</t>
  </si>
  <si>
    <t>调出</t>
  </si>
  <si>
    <t>合计</t>
  </si>
  <si>
    <t>土地出让收入</t>
  </si>
  <si>
    <t>国土收益基金</t>
  </si>
  <si>
    <t>农业土地开发基金</t>
  </si>
  <si>
    <t>土地使用权</t>
  </si>
  <si>
    <t xml:space="preserve">    棚户区改造专项债券收入安排的支出</t>
  </si>
  <si>
    <t>配套费</t>
  </si>
  <si>
    <t>污水处理费</t>
  </si>
  <si>
    <t>专项债务项目收入</t>
  </si>
  <si>
    <t>上级转移支付</t>
  </si>
  <si>
    <t>体育事业</t>
  </si>
  <si>
    <t>国家电影</t>
  </si>
  <si>
    <t>旅游资金</t>
  </si>
  <si>
    <t>水库移民</t>
  </si>
  <si>
    <t>库区基金</t>
  </si>
  <si>
    <t>彩票公益金</t>
  </si>
  <si>
    <t xml:space="preserve">    超长期特别国债</t>
  </si>
  <si>
    <t xml:space="preserve">    民政</t>
  </si>
  <si>
    <t>债务转贷收入（新增）</t>
  </si>
  <si>
    <t>债务转贷收入（再融资）</t>
  </si>
  <si>
    <t>财力付息</t>
  </si>
  <si>
    <t>财力还本</t>
  </si>
  <si>
    <t>专项债务项目收入安排的支出</t>
  </si>
  <si>
    <t>2024年预计执行数</t>
  </si>
  <si>
    <t>2024年决算数</t>
  </si>
  <si>
    <t>2025年调整预算数</t>
  </si>
  <si>
    <t>2025年预计执行数</t>
  </si>
  <si>
    <t>2026年预算数</t>
  </si>
  <si>
    <t>报表余额</t>
  </si>
  <si>
    <t xml:space="preserve">    土地储备专项债券收入安排的支出</t>
  </si>
  <si>
    <t xml:space="preserve">    三峡后续工作</t>
  </si>
  <si>
    <t>科技</t>
  </si>
  <si>
    <t>卫健</t>
  </si>
  <si>
    <t>城乡</t>
  </si>
  <si>
    <t>资源</t>
  </si>
  <si>
    <t>住房</t>
  </si>
  <si>
    <t>2023年到期还本明细表</t>
  </si>
  <si>
    <t>股室</t>
  </si>
  <si>
    <t>债券类别</t>
  </si>
  <si>
    <t>债券类型</t>
  </si>
  <si>
    <t>偿还方式</t>
  </si>
  <si>
    <t>本金</t>
  </si>
  <si>
    <t>利息</t>
  </si>
  <si>
    <t>手续费
业务费</t>
  </si>
  <si>
    <t>预算股</t>
  </si>
  <si>
    <t>置换债券</t>
  </si>
  <si>
    <t>专项债券</t>
  </si>
  <si>
    <t>再融资</t>
  </si>
  <si>
    <t>普通专项债</t>
  </si>
  <si>
    <t>一般债券</t>
  </si>
  <si>
    <t>新增债券</t>
  </si>
  <si>
    <t>财力偿还</t>
  </si>
  <si>
    <t>土储专项债</t>
  </si>
  <si>
    <t>再融资债券</t>
  </si>
  <si>
    <t>企业金融股</t>
  </si>
  <si>
    <t>特别抗疫国债</t>
  </si>
  <si>
    <t>防洪堤日元贷款</t>
  </si>
  <si>
    <t>植树造林日元贷款</t>
  </si>
  <si>
    <t>智慧农业项目</t>
  </si>
  <si>
    <t>2020年决算</t>
  </si>
  <si>
    <t>2021年预算执行</t>
  </si>
  <si>
    <t>2022年预算（非最后，不用看）</t>
  </si>
  <si>
    <t>2022年预算调整</t>
  </si>
  <si>
    <t>2023年预算</t>
  </si>
  <si>
    <t>2022年预算执行</t>
  </si>
  <si>
    <t>2022年决算数</t>
  </si>
  <si>
    <t>2023年执行数</t>
  </si>
  <si>
    <t>2024年预算数</t>
  </si>
  <si>
    <t>调出公共预算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</si>
</sst>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2" formatCode="_ &quot;￥&quot;* #,##0_ ;_ &quot;￥&quot;* \-#,##0_ ;_ &quot;￥&quot;* &quot;-&quot;_ ;_ @_ "/>
    <numFmt numFmtId="44" formatCode="_ &quot;￥&quot;* #,##0.00_ ;_ &quot;￥&quot;* \-#,##0.00_ ;_ &quot;￥&quot;* &quot;-&quot;??_ ;_ @_ "/>
    <numFmt numFmtId="176" formatCode="_(* #,##0.00_);_(* \(#,##0.00\);_(* &quot;-&quot;??_);_(@_)"/>
    <numFmt numFmtId="177" formatCode="_(* #,##0_);_(* \(#,##0\);_(* &quot;-&quot;_);_(@_)"/>
    <numFmt numFmtId="178" formatCode="_ * #,##0_ ;_ * \-#,##0_ ;_ * &quot;-&quot;??_ ;_ @_ "/>
    <numFmt numFmtId="179" formatCode="#,##0_);[Red]\(#,##0\)"/>
    <numFmt numFmtId="180" formatCode="_ * #,##0.0_ ;_ * \-#,##0.0_ ;_ * &quot;-&quot;??_ ;_ @_ "/>
    <numFmt numFmtId="181" formatCode="_ * #,##0.0_ ;_ * \-#,##0.0_ ;_ * &quot;-&quot;??.0_ ;_ @_ "/>
  </numFmts>
  <fonts count="49">
    <font>
      <sz val="11"/>
      <color theme="1"/>
      <name val="等线"/>
      <charset val="134"/>
      <scheme val="minor"/>
    </font>
    <font>
      <sz val="11"/>
      <color theme="1"/>
      <name val="Arial Narrow"/>
      <charset val="134"/>
    </font>
    <font>
      <sz val="11"/>
      <name val="Arial Narrow"/>
      <charset val="134"/>
    </font>
    <font>
      <b/>
      <sz val="20"/>
      <color theme="1"/>
      <name val="等线"/>
      <charset val="134"/>
      <scheme val="minor"/>
    </font>
    <font>
      <b/>
      <sz val="20"/>
      <name val="等线"/>
      <charset val="134"/>
      <scheme val="minor"/>
    </font>
    <font>
      <sz val="11"/>
      <name val="等线"/>
      <charset val="134"/>
      <scheme val="minor"/>
    </font>
    <font>
      <sz val="6"/>
      <color theme="1"/>
      <name val="等线"/>
      <charset val="134"/>
      <scheme val="minor"/>
    </font>
    <font>
      <sz val="14"/>
      <color theme="1"/>
      <name val="黑体"/>
      <charset val="134"/>
    </font>
    <font>
      <sz val="20"/>
      <color theme="1"/>
      <name val="方正小标宋简体"/>
      <charset val="134"/>
    </font>
    <font>
      <sz val="11"/>
      <color theme="1"/>
      <name val="楷体_GB2312"/>
      <charset val="134"/>
    </font>
    <font>
      <sz val="11"/>
      <color theme="1"/>
      <name val="黑体"/>
      <charset val="134"/>
    </font>
    <font>
      <sz val="11"/>
      <color theme="1"/>
      <name val="宋体"/>
      <charset val="134"/>
    </font>
    <font>
      <sz val="13"/>
      <color theme="1"/>
      <name val="楷体_GB2312"/>
      <charset val="134"/>
    </font>
    <font>
      <sz val="9"/>
      <color theme="1"/>
      <name val="宋体"/>
      <charset val="134"/>
    </font>
    <font>
      <sz val="10"/>
      <color indexed="8"/>
      <name val="宋体"/>
      <charset val="134"/>
    </font>
    <font>
      <sz val="10"/>
      <color theme="1"/>
      <name val="宋体"/>
      <charset val="134"/>
    </font>
    <font>
      <sz val="11"/>
      <name val="宋体"/>
      <charset val="134"/>
    </font>
    <font>
      <b/>
      <sz val="11"/>
      <name val="宋体"/>
      <charset val="134"/>
    </font>
    <font>
      <b/>
      <sz val="20"/>
      <color theme="1"/>
      <name val="方正小标宋_GBK"/>
      <charset val="134"/>
    </font>
    <font>
      <sz val="11"/>
      <color theme="1"/>
      <name val="Arial Narrow"/>
      <charset val="0"/>
    </font>
    <font>
      <b/>
      <sz val="11"/>
      <color theme="1"/>
      <name val="宋体"/>
      <charset val="134"/>
    </font>
    <font>
      <sz val="10.5"/>
      <color theme="1"/>
      <name val="宋体"/>
      <charset val="134"/>
    </font>
    <font>
      <b/>
      <sz val="11"/>
      <color theme="1"/>
      <name val="Arial Narrow"/>
      <charset val="134"/>
    </font>
    <font>
      <sz val="10"/>
      <color theme="1"/>
      <name val="等线"/>
      <charset val="134"/>
      <scheme val="minor"/>
    </font>
    <font>
      <b/>
      <sz val="11"/>
      <color theme="1"/>
      <name val="等线"/>
      <charset val="134"/>
      <scheme val="minor"/>
    </font>
    <font>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b/>
      <sz val="9"/>
      <name val="宋体"/>
      <charset val="134"/>
    </font>
    <font>
      <sz val="9"/>
      <name val="宋体"/>
      <charset val="134"/>
    </font>
  </fonts>
  <fills count="40">
    <fill>
      <patternFill patternType="none"/>
    </fill>
    <fill>
      <patternFill patternType="gray125"/>
    </fill>
    <fill>
      <patternFill patternType="solid">
        <fgColor theme="0" tint="-0.149998474074526"/>
        <bgColor indexed="64"/>
      </patternFill>
    </fill>
    <fill>
      <patternFill patternType="solid">
        <fgColor theme="0" tint="-0.249977111117893"/>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theme="5" tint="0.4"/>
        <bgColor indexed="64"/>
      </patternFill>
    </fill>
    <fill>
      <patternFill patternType="solid">
        <fgColor theme="5"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thin">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double">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9" borderId="33"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4" applyNumberFormat="0" applyFill="0" applyAlignment="0" applyProtection="0">
      <alignment vertical="center"/>
    </xf>
    <xf numFmtId="0" fontId="32" fillId="0" borderId="34" applyNumberFormat="0" applyFill="0" applyAlignment="0" applyProtection="0">
      <alignment vertical="center"/>
    </xf>
    <xf numFmtId="0" fontId="33" fillId="0" borderId="35" applyNumberFormat="0" applyFill="0" applyAlignment="0" applyProtection="0">
      <alignment vertical="center"/>
    </xf>
    <xf numFmtId="0" fontId="33" fillId="0" borderId="0" applyNumberFormat="0" applyFill="0" applyBorder="0" applyAlignment="0" applyProtection="0">
      <alignment vertical="center"/>
    </xf>
    <xf numFmtId="0" fontId="34" fillId="10" borderId="36" applyNumberFormat="0" applyAlignment="0" applyProtection="0">
      <alignment vertical="center"/>
    </xf>
    <xf numFmtId="0" fontId="35" fillId="11" borderId="37" applyNumberFormat="0" applyAlignment="0" applyProtection="0">
      <alignment vertical="center"/>
    </xf>
    <xf numFmtId="0" fontId="36" fillId="11" borderId="36" applyNumberFormat="0" applyAlignment="0" applyProtection="0">
      <alignment vertical="center"/>
    </xf>
    <xf numFmtId="0" fontId="37" fillId="12" borderId="38" applyNumberFormat="0" applyAlignment="0" applyProtection="0">
      <alignment vertical="center"/>
    </xf>
    <xf numFmtId="0" fontId="38" fillId="0" borderId="39" applyNumberFormat="0" applyFill="0" applyAlignment="0" applyProtection="0">
      <alignment vertical="center"/>
    </xf>
    <xf numFmtId="0" fontId="39" fillId="0" borderId="40" applyNumberFormat="0" applyFill="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0" fontId="43" fillId="36" borderId="0" applyNumberFormat="0" applyBorder="0" applyAlignment="0" applyProtection="0">
      <alignment vertical="center"/>
    </xf>
    <xf numFmtId="0" fontId="44" fillId="37" borderId="0" applyNumberFormat="0" applyBorder="0" applyAlignment="0" applyProtection="0">
      <alignment vertical="center"/>
    </xf>
    <xf numFmtId="0" fontId="44" fillId="38" borderId="0" applyNumberFormat="0" applyBorder="0" applyAlignment="0" applyProtection="0">
      <alignment vertical="center"/>
    </xf>
    <xf numFmtId="0" fontId="43" fillId="39" borderId="0" applyNumberFormat="0" applyBorder="0" applyAlignment="0" applyProtection="0">
      <alignment vertical="center"/>
    </xf>
    <xf numFmtId="0" fontId="45" fillId="0" borderId="0"/>
    <xf numFmtId="176" fontId="45" fillId="0" borderId="0" applyFont="0" applyFill="0" applyBorder="0" applyAlignment="0" applyProtection="0"/>
    <xf numFmtId="0" fontId="0" fillId="0" borderId="0">
      <alignment vertical="center"/>
    </xf>
    <xf numFmtId="0" fontId="0" fillId="0" borderId="0">
      <alignment vertical="center"/>
    </xf>
    <xf numFmtId="0" fontId="46" fillId="0" borderId="0">
      <alignment vertical="center"/>
    </xf>
    <xf numFmtId="176" fontId="0" fillId="0" borderId="0" applyFont="0" applyFill="0" applyBorder="0" applyAlignment="0" applyProtection="0">
      <alignment vertical="center"/>
    </xf>
    <xf numFmtId="0" fontId="45" fillId="0" borderId="0"/>
  </cellStyleXfs>
  <cellXfs count="232">
    <xf numFmtId="0" fontId="0" fillId="0" borderId="0" xfId="0">
      <alignment vertical="center"/>
    </xf>
    <xf numFmtId="0" fontId="0" fillId="0" borderId="0" xfId="52" applyAlignment="1">
      <alignment horizontal="center" vertical="center"/>
    </xf>
    <xf numFmtId="0" fontId="0" fillId="0" borderId="0" xfId="52">
      <alignment vertical="center"/>
    </xf>
    <xf numFmtId="0" fontId="0" fillId="2" borderId="0" xfId="52" applyFill="1">
      <alignment vertical="center"/>
    </xf>
    <xf numFmtId="0" fontId="0" fillId="0" borderId="1" xfId="52" applyBorder="1" applyAlignment="1">
      <alignment horizontal="center" vertical="center"/>
    </xf>
    <xf numFmtId="0" fontId="0" fillId="0" borderId="2" xfId="52" applyBorder="1" applyAlignment="1">
      <alignment horizontal="center" vertical="center"/>
    </xf>
    <xf numFmtId="0" fontId="0" fillId="2" borderId="1" xfId="52" applyFill="1" applyBorder="1" applyAlignment="1">
      <alignment horizontal="center" vertical="center"/>
    </xf>
    <xf numFmtId="0" fontId="0" fillId="2" borderId="2" xfId="52" applyFill="1" applyBorder="1" applyAlignment="1">
      <alignment horizontal="center" vertical="center"/>
    </xf>
    <xf numFmtId="0" fontId="0" fillId="0" borderId="1" xfId="52" applyBorder="1">
      <alignment vertical="center"/>
    </xf>
    <xf numFmtId="178" fontId="1" fillId="0" borderId="1" xfId="54" applyNumberFormat="1" applyFont="1" applyBorder="1">
      <alignment vertical="center"/>
    </xf>
    <xf numFmtId="178" fontId="1" fillId="3" borderId="1" xfId="54" applyNumberFormat="1" applyFont="1" applyFill="1" applyBorder="1">
      <alignment vertical="center"/>
    </xf>
    <xf numFmtId="178" fontId="1" fillId="2" borderId="1" xfId="54" applyNumberFormat="1" applyFont="1" applyFill="1" applyBorder="1">
      <alignment vertical="center"/>
    </xf>
    <xf numFmtId="178" fontId="1" fillId="0" borderId="2" xfId="54" applyNumberFormat="1" applyFont="1" applyBorder="1">
      <alignment vertical="center"/>
    </xf>
    <xf numFmtId="178" fontId="1" fillId="0" borderId="1" xfId="1" applyNumberFormat="1" applyFont="1" applyBorder="1">
      <alignment vertical="center"/>
    </xf>
    <xf numFmtId="178" fontId="1" fillId="0" borderId="1" xfId="1" applyNumberFormat="1" applyFont="1" applyFill="1" applyBorder="1">
      <alignment vertical="center"/>
    </xf>
    <xf numFmtId="178" fontId="2" fillId="0" borderId="1" xfId="1" applyNumberFormat="1" applyFont="1" applyFill="1" applyBorder="1">
      <alignment vertical="center"/>
    </xf>
    <xf numFmtId="0" fontId="0" fillId="0" borderId="1" xfId="52" applyBorder="1" applyAlignment="1">
      <alignment horizontal="left" vertical="center" indent="1"/>
    </xf>
    <xf numFmtId="178" fontId="0" fillId="0" borderId="2" xfId="52" applyNumberFormat="1" applyBorder="1">
      <alignment vertical="center"/>
    </xf>
    <xf numFmtId="178" fontId="1" fillId="0" borderId="1" xfId="54" applyNumberFormat="1" applyFont="1" applyFill="1" applyBorder="1">
      <alignment vertical="center"/>
    </xf>
    <xf numFmtId="0" fontId="0" fillId="0" borderId="1" xfId="52" applyBorder="1" applyAlignment="1">
      <alignment horizontal="left" vertical="center"/>
    </xf>
    <xf numFmtId="178" fontId="1" fillId="4" borderId="1" xfId="54" applyNumberFormat="1" applyFont="1" applyFill="1" applyBorder="1">
      <alignment vertical="center"/>
    </xf>
    <xf numFmtId="0" fontId="0" fillId="5" borderId="1" xfId="52" applyFill="1" applyBorder="1">
      <alignment vertical="center"/>
    </xf>
    <xf numFmtId="178" fontId="1" fillId="5" borderId="1" xfId="54" applyNumberFormat="1" applyFont="1" applyFill="1" applyBorder="1">
      <alignment vertical="center"/>
    </xf>
    <xf numFmtId="178" fontId="0" fillId="0" borderId="1" xfId="52" applyNumberFormat="1" applyBorder="1">
      <alignment vertical="center"/>
    </xf>
    <xf numFmtId="0" fontId="0" fillId="0" borderId="1" xfId="52" applyBorder="1" applyAlignment="1">
      <alignment vertical="center" wrapText="1"/>
    </xf>
    <xf numFmtId="0" fontId="0" fillId="6" borderId="1" xfId="52" applyFill="1" applyBorder="1">
      <alignment vertical="center"/>
    </xf>
    <xf numFmtId="0" fontId="0" fillId="0" borderId="0" xfId="0" applyFill="1" applyAlignment="1"/>
    <xf numFmtId="0" fontId="3" fillId="0" borderId="0" xfId="0" applyFont="1" applyFill="1" applyAlignment="1">
      <alignment horizontal="center" vertical="center"/>
    </xf>
    <xf numFmtId="0" fontId="4" fillId="0" borderId="0" xfId="0" applyFont="1" applyFill="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5"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5" xfId="52" applyBorder="1" applyAlignment="1">
      <alignment horizontal="center" vertical="center"/>
    </xf>
    <xf numFmtId="0" fontId="0" fillId="0" borderId="6" xfId="52" applyBorder="1" applyAlignment="1">
      <alignment horizontal="center" vertical="center"/>
    </xf>
    <xf numFmtId="0" fontId="0" fillId="0" borderId="7" xfId="52"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 xfId="0" applyFill="1" applyBorder="1" applyAlignment="1">
      <alignment horizontal="center" vertical="center"/>
    </xf>
    <xf numFmtId="0" fontId="5" fillId="0" borderId="14" xfId="0" applyFont="1"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2" xfId="0" applyFill="1" applyBorder="1" applyAlignment="1">
      <alignment horizontal="center" vertical="center"/>
    </xf>
    <xf numFmtId="0" fontId="0" fillId="0" borderId="13" xfId="52" applyBorder="1" applyAlignment="1">
      <alignment horizontal="center" vertical="center"/>
    </xf>
    <xf numFmtId="0" fontId="0" fillId="0" borderId="14" xfId="52" applyFill="1" applyBorder="1" applyAlignment="1">
      <alignment horizontal="center" vertical="center"/>
    </xf>
    <xf numFmtId="0" fontId="0" fillId="0" borderId="11" xfId="0" applyFill="1" applyBorder="1" applyAlignment="1">
      <alignment vertical="center"/>
    </xf>
    <xf numFmtId="178" fontId="1" fillId="0" borderId="17" xfId="1" applyNumberFormat="1" applyFont="1" applyBorder="1">
      <alignment vertical="center"/>
    </xf>
    <xf numFmtId="178" fontId="1" fillId="0" borderId="18" xfId="1" applyNumberFormat="1" applyFont="1" applyBorder="1">
      <alignment vertical="center"/>
    </xf>
    <xf numFmtId="178" fontId="2" fillId="0" borderId="17" xfId="1" applyNumberFormat="1" applyFont="1" applyFill="1" applyBorder="1">
      <alignment vertical="center"/>
    </xf>
    <xf numFmtId="178" fontId="1" fillId="0" borderId="13" xfId="1" applyNumberFormat="1" applyFont="1" applyBorder="1">
      <alignment vertical="center"/>
    </xf>
    <xf numFmtId="178" fontId="1" fillId="0" borderId="14" xfId="1" applyNumberFormat="1" applyFont="1" applyBorder="1">
      <alignment vertical="center"/>
    </xf>
    <xf numFmtId="178" fontId="1" fillId="0" borderId="13" xfId="1" applyNumberFormat="1" applyFont="1" applyFill="1" applyBorder="1">
      <alignment vertical="center"/>
    </xf>
    <xf numFmtId="178" fontId="1" fillId="0" borderId="11" xfId="1" applyNumberFormat="1" applyFont="1" applyFill="1" applyBorder="1">
      <alignment vertical="center"/>
    </xf>
    <xf numFmtId="178" fontId="1" fillId="0" borderId="15" xfId="1" applyNumberFormat="1" applyFont="1" applyFill="1" applyBorder="1">
      <alignment vertical="center"/>
    </xf>
    <xf numFmtId="178" fontId="1" fillId="0" borderId="15" xfId="1" applyNumberFormat="1" applyFont="1" applyBorder="1">
      <alignment vertical="center"/>
    </xf>
    <xf numFmtId="178" fontId="1" fillId="0" borderId="2" xfId="1" applyNumberFormat="1" applyFont="1" applyBorder="1">
      <alignment vertical="center"/>
    </xf>
    <xf numFmtId="178" fontId="2" fillId="0" borderId="14" xfId="1" applyNumberFormat="1" applyFont="1" applyFill="1" applyBorder="1">
      <alignment vertical="center"/>
    </xf>
    <xf numFmtId="178" fontId="1" fillId="0" borderId="18" xfId="1" applyNumberFormat="1" applyFont="1" applyFill="1" applyBorder="1">
      <alignment vertical="center"/>
    </xf>
    <xf numFmtId="178" fontId="1" fillId="0" borderId="14" xfId="1" applyNumberFormat="1" applyFont="1" applyFill="1" applyBorder="1">
      <alignment vertical="center"/>
    </xf>
    <xf numFmtId="178" fontId="2" fillId="0" borderId="15" xfId="1" applyNumberFormat="1" applyFont="1" applyFill="1" applyBorder="1">
      <alignment vertical="center"/>
    </xf>
    <xf numFmtId="178" fontId="1" fillId="0" borderId="17" xfId="1" applyNumberFormat="1" applyFont="1" applyFill="1" applyBorder="1">
      <alignment vertical="center"/>
    </xf>
    <xf numFmtId="0" fontId="0" fillId="0" borderId="11" xfId="0" applyFill="1" applyBorder="1" applyAlignment="1">
      <alignment horizontal="left" vertical="center" indent="1"/>
    </xf>
    <xf numFmtId="178" fontId="2" fillId="0" borderId="1" xfId="1" applyNumberFormat="1" applyFont="1" applyBorder="1">
      <alignment vertical="center"/>
    </xf>
    <xf numFmtId="0" fontId="6" fillId="0" borderId="11" xfId="0" applyFont="1" applyFill="1" applyBorder="1" applyAlignment="1">
      <alignment horizontal="left" vertical="center" indent="1"/>
    </xf>
    <xf numFmtId="0" fontId="0" fillId="0" borderId="11" xfId="0" applyFill="1" applyBorder="1" applyAlignment="1">
      <alignment horizontal="left" vertical="center"/>
    </xf>
    <xf numFmtId="178" fontId="1" fillId="7" borderId="1" xfId="1" applyNumberFormat="1" applyFont="1" applyFill="1" applyBorder="1">
      <alignment vertical="center"/>
    </xf>
    <xf numFmtId="178" fontId="2" fillId="0" borderId="2" xfId="1" applyNumberFormat="1" applyFont="1" applyFill="1" applyBorder="1">
      <alignment vertical="center"/>
    </xf>
    <xf numFmtId="178" fontId="1" fillId="0" borderId="19" xfId="1" applyNumberFormat="1" applyFont="1" applyBorder="1">
      <alignment vertical="center"/>
    </xf>
    <xf numFmtId="178" fontId="1" fillId="0" borderId="19" xfId="1" applyNumberFormat="1" applyFont="1" applyFill="1" applyBorder="1">
      <alignment vertical="center"/>
    </xf>
    <xf numFmtId="178" fontId="1" fillId="6" borderId="18" xfId="1" applyNumberFormat="1" applyFont="1" applyFill="1" applyBorder="1">
      <alignment vertical="center"/>
    </xf>
    <xf numFmtId="178" fontId="1" fillId="6" borderId="17" xfId="1" applyNumberFormat="1" applyFont="1" applyFill="1" applyBorder="1">
      <alignment vertical="center"/>
    </xf>
    <xf numFmtId="178" fontId="1" fillId="8" borderId="1" xfId="1" applyNumberFormat="1" applyFont="1" applyFill="1" applyBorder="1">
      <alignment vertical="center"/>
    </xf>
    <xf numFmtId="0" fontId="0" fillId="0" borderId="13" xfId="0" applyFill="1" applyBorder="1" applyAlignment="1"/>
    <xf numFmtId="0" fontId="0" fillId="0" borderId="1" xfId="0" applyFill="1" applyBorder="1" applyAlignment="1"/>
    <xf numFmtId="178" fontId="1" fillId="0" borderId="20" xfId="1" applyNumberFormat="1" applyFont="1" applyBorder="1">
      <alignment vertical="center"/>
    </xf>
    <xf numFmtId="178" fontId="1" fillId="0" borderId="21" xfId="1" applyNumberFormat="1" applyFont="1" applyBorder="1">
      <alignment vertical="center"/>
    </xf>
    <xf numFmtId="178" fontId="1" fillId="0" borderId="20" xfId="1" applyNumberFormat="1" applyFont="1" applyFill="1" applyBorder="1">
      <alignment vertical="center"/>
    </xf>
    <xf numFmtId="178" fontId="1" fillId="0" borderId="21" xfId="1" applyNumberFormat="1" applyFont="1" applyFill="1" applyBorder="1">
      <alignment vertical="center"/>
    </xf>
    <xf numFmtId="0" fontId="0" fillId="0" borderId="22" xfId="0" applyFill="1" applyBorder="1" applyAlignment="1">
      <alignment horizontal="left" vertical="center"/>
    </xf>
    <xf numFmtId="178" fontId="1" fillId="0" borderId="23" xfId="1" applyNumberFormat="1" applyFont="1" applyBorder="1">
      <alignment vertical="center"/>
    </xf>
    <xf numFmtId="178" fontId="1" fillId="0" borderId="24" xfId="1" applyNumberFormat="1" applyFont="1" applyBorder="1">
      <alignment vertical="center"/>
    </xf>
    <xf numFmtId="178" fontId="1" fillId="0" borderId="25" xfId="1" applyNumberFormat="1" applyFont="1" applyBorder="1">
      <alignment vertical="center"/>
    </xf>
    <xf numFmtId="178" fontId="2" fillId="0" borderId="26" xfId="1" applyNumberFormat="1" applyFont="1" applyFill="1" applyBorder="1">
      <alignment vertical="center"/>
    </xf>
    <xf numFmtId="178" fontId="1" fillId="0" borderId="26" xfId="1" applyNumberFormat="1" applyFont="1" applyBorder="1">
      <alignment vertical="center"/>
    </xf>
    <xf numFmtId="178" fontId="1" fillId="0" borderId="24" xfId="1" applyNumberFormat="1" applyFont="1" applyFill="1" applyBorder="1">
      <alignment vertical="center"/>
    </xf>
    <xf numFmtId="178" fontId="1" fillId="0" borderId="25" xfId="1" applyNumberFormat="1" applyFont="1" applyFill="1" applyBorder="1">
      <alignment vertical="center"/>
    </xf>
    <xf numFmtId="178" fontId="1" fillId="0" borderId="27" xfId="1" applyNumberFormat="1" applyFont="1" applyFill="1" applyBorder="1">
      <alignment vertical="center"/>
    </xf>
    <xf numFmtId="178" fontId="1" fillId="0" borderId="28" xfId="1" applyNumberFormat="1" applyFont="1" applyBorder="1">
      <alignment vertical="center"/>
    </xf>
    <xf numFmtId="178" fontId="1" fillId="0" borderId="27" xfId="1" applyNumberFormat="1" applyFont="1" applyBorder="1">
      <alignment vertical="center"/>
    </xf>
    <xf numFmtId="178" fontId="1" fillId="0" borderId="28" xfId="1" applyNumberFormat="1" applyFont="1" applyFill="1" applyBorder="1">
      <alignment vertical="center"/>
    </xf>
    <xf numFmtId="0" fontId="0" fillId="0" borderId="0" xfId="0" applyFill="1" applyAlignment="1">
      <alignment vertical="center"/>
    </xf>
    <xf numFmtId="0" fontId="5" fillId="0" borderId="0" xfId="0" applyFont="1" applyFill="1" applyAlignment="1">
      <alignment vertical="center"/>
    </xf>
    <xf numFmtId="0" fontId="0" fillId="0" borderId="1" xfId="0" applyFill="1" applyBorder="1" applyAlignment="1">
      <alignment horizontal="left" vertical="center"/>
    </xf>
    <xf numFmtId="0" fontId="0" fillId="0" borderId="0" xfId="0" applyFill="1" applyAlignment="1">
      <alignment horizontal="center"/>
    </xf>
    <xf numFmtId="0" fontId="0" fillId="0" borderId="0" xfId="0" applyFill="1" applyAlignment="1">
      <alignment horizontal="right"/>
    </xf>
    <xf numFmtId="0" fontId="0" fillId="0" borderId="29" xfId="0" applyFill="1" applyBorder="1" applyAlignment="1">
      <alignment horizontal="center" vertical="center"/>
    </xf>
    <xf numFmtId="0" fontId="5" fillId="0" borderId="10" xfId="0" applyFont="1" applyFill="1" applyBorder="1" applyAlignment="1">
      <alignment horizontal="center" vertical="center"/>
    </xf>
    <xf numFmtId="0" fontId="0" fillId="6" borderId="13" xfId="0" applyFill="1" applyBorder="1" applyAlignment="1">
      <alignment horizontal="center" vertical="center"/>
    </xf>
    <xf numFmtId="0" fontId="0" fillId="6" borderId="1" xfId="0" applyFill="1" applyBorder="1" applyAlignment="1">
      <alignment horizontal="center" vertical="center"/>
    </xf>
    <xf numFmtId="0" fontId="5" fillId="6" borderId="2" xfId="0" applyFont="1" applyFill="1" applyBorder="1" applyAlignment="1">
      <alignment horizontal="center" vertical="center"/>
    </xf>
    <xf numFmtId="0" fontId="0" fillId="0" borderId="2" xfId="0" applyFill="1" applyBorder="1" applyAlignment="1">
      <alignment vertical="center"/>
    </xf>
    <xf numFmtId="178" fontId="1" fillId="0" borderId="11" xfId="1" applyNumberFormat="1" applyFont="1" applyBorder="1">
      <alignment vertical="center"/>
    </xf>
    <xf numFmtId="178" fontId="1" fillId="6" borderId="13" xfId="1" applyNumberFormat="1" applyFont="1" applyFill="1" applyBorder="1">
      <alignment vertical="center"/>
    </xf>
    <xf numFmtId="178" fontId="1" fillId="6" borderId="1" xfId="1" applyNumberFormat="1" applyFont="1" applyFill="1" applyBorder="1">
      <alignment vertical="center"/>
    </xf>
    <xf numFmtId="178" fontId="2" fillId="6" borderId="2" xfId="1" applyNumberFormat="1" applyFont="1" applyFill="1" applyBorder="1">
      <alignment vertical="center"/>
    </xf>
    <xf numFmtId="0" fontId="0" fillId="0" borderId="2" xfId="0" applyFill="1" applyBorder="1" applyAlignment="1">
      <alignment horizontal="left" vertical="center" indent="1"/>
    </xf>
    <xf numFmtId="0" fontId="0" fillId="0" borderId="2" xfId="0" applyFill="1" applyBorder="1" applyAlignment="1">
      <alignment horizontal="left" vertical="center"/>
    </xf>
    <xf numFmtId="178" fontId="1" fillId="0" borderId="22" xfId="1" applyNumberFormat="1" applyFont="1" applyBorder="1">
      <alignment vertical="center"/>
    </xf>
    <xf numFmtId="178" fontId="1" fillId="6" borderId="24" xfId="1" applyNumberFormat="1" applyFont="1" applyFill="1" applyBorder="1">
      <alignment vertical="center"/>
    </xf>
    <xf numFmtId="178" fontId="1" fillId="6" borderId="25" xfId="1" applyNumberFormat="1" applyFont="1" applyFill="1" applyBorder="1">
      <alignment vertical="center"/>
    </xf>
    <xf numFmtId="178" fontId="2" fillId="6" borderId="30" xfId="1" applyNumberFormat="1" applyFont="1" applyFill="1" applyBorder="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1" fillId="0" borderId="0" xfId="0" applyFont="1" applyFill="1">
      <alignment vertical="center"/>
    </xf>
    <xf numFmtId="0" fontId="0" fillId="0" borderId="0" xfId="0" applyAlignment="1">
      <alignment vertical="center" wrapText="1"/>
    </xf>
    <xf numFmtId="0" fontId="7" fillId="0" borderId="0" xfId="0" applyFont="1" applyAlignment="1">
      <alignment vertical="center" wrapText="1"/>
    </xf>
    <xf numFmtId="0" fontId="8" fillId="0" borderId="0" xfId="0" applyFont="1" applyAlignment="1">
      <alignment horizontal="center" vertical="center"/>
    </xf>
    <xf numFmtId="0" fontId="12" fillId="0" borderId="0" xfId="0" applyFont="1" applyAlignment="1">
      <alignment horizontal="right"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vertical="center"/>
    </xf>
    <xf numFmtId="178" fontId="11" fillId="0" borderId="1" xfId="1" applyNumberFormat="1" applyFont="1" applyBorder="1">
      <alignment vertical="center"/>
    </xf>
    <xf numFmtId="0" fontId="11" fillId="0" borderId="1" xfId="0" applyFont="1" applyFill="1" applyBorder="1" applyAlignment="1">
      <alignment vertical="center" wrapText="1"/>
    </xf>
    <xf numFmtId="0" fontId="11" fillId="0" borderId="1" xfId="0" applyFont="1" applyFill="1" applyBorder="1" applyAlignment="1">
      <alignment horizontal="left" vertical="center" indent="2"/>
    </xf>
    <xf numFmtId="0" fontId="13" fillId="0" borderId="1" xfId="0" applyFont="1" applyFill="1" applyBorder="1" applyAlignment="1">
      <alignment vertical="center" shrinkToFit="1"/>
    </xf>
    <xf numFmtId="0" fontId="13" fillId="0" borderId="1" xfId="0" applyFont="1" applyFill="1" applyBorder="1" applyAlignment="1">
      <alignment vertical="center" wrapText="1" shrinkToFit="1"/>
    </xf>
    <xf numFmtId="0" fontId="11" fillId="0" borderId="1" xfId="0" applyFont="1" applyFill="1" applyBorder="1" applyAlignment="1">
      <alignment horizontal="left" vertical="center" wrapText="1" indent="2"/>
    </xf>
    <xf numFmtId="0" fontId="14" fillId="0" borderId="1" xfId="53" applyFont="1" applyFill="1" applyBorder="1" applyAlignment="1">
      <alignment horizontal="left" vertical="center" wrapText="1"/>
    </xf>
    <xf numFmtId="0" fontId="11" fillId="0" borderId="0" xfId="0" applyFont="1" applyFill="1" applyBorder="1" applyAlignment="1">
      <alignment horizontal="left" vertical="center" wrapText="1" indent="2"/>
    </xf>
    <xf numFmtId="0" fontId="15" fillId="0" borderId="1" xfId="0" applyFont="1" applyFill="1" applyBorder="1" applyAlignment="1">
      <alignment horizontal="left" vertical="center" wrapText="1" indent="2"/>
    </xf>
    <xf numFmtId="178" fontId="1" fillId="0" borderId="1" xfId="1" applyNumberFormat="1" applyFont="1" applyBorder="1" applyAlignment="1">
      <alignment horizontal="right" vertical="center"/>
    </xf>
    <xf numFmtId="0" fontId="0" fillId="0" borderId="1" xfId="0" applyBorder="1" applyAlignment="1">
      <alignment vertical="center" wrapText="1"/>
    </xf>
    <xf numFmtId="0" fontId="0" fillId="0" borderId="1" xfId="0" applyBorder="1">
      <alignment vertical="center"/>
    </xf>
    <xf numFmtId="0" fontId="0" fillId="0" borderId="0" xfId="0" applyAlignment="1">
      <alignment vertical="center" shrinkToFit="1"/>
    </xf>
    <xf numFmtId="0" fontId="7" fillId="0" borderId="0" xfId="0" applyFont="1" applyAlignment="1">
      <alignment vertical="center" shrinkToFit="1"/>
    </xf>
    <xf numFmtId="0" fontId="12" fillId="0" borderId="0" xfId="0" applyFont="1" applyAlignment="1">
      <alignment horizontal="right" vertical="center" shrinkToFi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shrinkToFit="1"/>
    </xf>
    <xf numFmtId="0" fontId="16" fillId="0" borderId="1" xfId="0" applyFont="1" applyBorder="1" applyAlignment="1">
      <alignment horizontal="left" vertical="center" wrapText="1"/>
    </xf>
    <xf numFmtId="177" fontId="16" fillId="0" borderId="1" xfId="4" applyFont="1" applyFill="1" applyBorder="1" applyAlignment="1">
      <alignment horizontal="right" vertical="center"/>
    </xf>
    <xf numFmtId="177" fontId="17" fillId="0" borderId="1" xfId="4" applyFont="1" applyBorder="1" applyAlignment="1">
      <alignment horizontal="center" vertical="center" shrinkToFit="1"/>
    </xf>
    <xf numFmtId="0" fontId="16" fillId="0" borderId="1" xfId="0" applyFont="1" applyBorder="1" applyAlignment="1">
      <alignment horizontal="left" vertical="center"/>
    </xf>
    <xf numFmtId="0" fontId="11" fillId="0" borderId="1" xfId="0" applyFont="1" applyBorder="1">
      <alignment vertical="center"/>
    </xf>
    <xf numFmtId="0" fontId="16" fillId="0" borderId="1" xfId="0" applyFont="1" applyBorder="1" applyAlignment="1">
      <alignment horizontal="center" vertical="center" shrinkToFit="1"/>
    </xf>
    <xf numFmtId="177" fontId="16" fillId="0" borderId="1" xfId="4" applyFont="1" applyFill="1" applyBorder="1" applyAlignment="1">
      <alignment horizontal="center" vertical="center" shrinkToFit="1"/>
    </xf>
    <xf numFmtId="0" fontId="11" fillId="0" borderId="1" xfId="0" applyFont="1" applyBorder="1" applyAlignment="1">
      <alignment vertical="center" wrapText="1"/>
    </xf>
    <xf numFmtId="0" fontId="13" fillId="0" borderId="1" xfId="0" applyFont="1" applyBorder="1" applyAlignment="1">
      <alignment vertical="center" wrapText="1"/>
    </xf>
    <xf numFmtId="177" fontId="16" fillId="0" borderId="1" xfId="4" applyFont="1" applyFill="1" applyBorder="1" applyAlignment="1">
      <alignment horizontal="left" vertical="center" shrinkToFit="1"/>
    </xf>
    <xf numFmtId="0" fontId="8" fillId="0" borderId="0" xfId="0" applyFont="1" applyAlignment="1">
      <alignment vertical="center"/>
    </xf>
    <xf numFmtId="0" fontId="11" fillId="0" borderId="1" xfId="0" applyFont="1" applyBorder="1" applyAlignment="1">
      <alignment horizontal="left" vertical="center" indent="2"/>
    </xf>
    <xf numFmtId="0" fontId="11" fillId="0" borderId="1" xfId="0" applyFont="1" applyBorder="1" applyAlignment="1">
      <alignment horizontal="left" vertical="center"/>
    </xf>
    <xf numFmtId="0" fontId="11" fillId="0" borderId="0" xfId="0" applyFont="1" applyBorder="1">
      <alignment vertical="center"/>
    </xf>
    <xf numFmtId="0" fontId="18" fillId="0" borderId="0" xfId="0" applyFont="1">
      <alignment vertical="center"/>
    </xf>
    <xf numFmtId="0" fontId="12" fillId="0" borderId="0" xfId="0" applyFont="1">
      <alignment vertical="center"/>
    </xf>
    <xf numFmtId="0" fontId="11" fillId="0" borderId="1" xfId="0" applyFont="1" applyFill="1" applyBorder="1">
      <alignment vertical="center"/>
    </xf>
    <xf numFmtId="179" fontId="19" fillId="0" borderId="1" xfId="1" applyNumberFormat="1" applyFont="1" applyFill="1" applyBorder="1">
      <alignment vertical="center"/>
    </xf>
    <xf numFmtId="178" fontId="19" fillId="0" borderId="1" xfId="1" applyNumberFormat="1" applyFont="1" applyFill="1" applyBorder="1">
      <alignment vertical="center"/>
    </xf>
    <xf numFmtId="0" fontId="5" fillId="0" borderId="1" xfId="0" applyFont="1" applyFill="1" applyBorder="1">
      <alignment vertical="center"/>
    </xf>
    <xf numFmtId="0" fontId="10" fillId="0" borderId="0" xfId="0" applyFont="1">
      <alignment vertical="center"/>
    </xf>
    <xf numFmtId="0" fontId="20" fillId="0" borderId="0" xfId="0" applyFont="1">
      <alignment vertical="center"/>
    </xf>
    <xf numFmtId="0" fontId="9" fillId="0" borderId="0" xfId="0" applyFont="1" applyAlignment="1">
      <alignment horizontal="right" vertical="center"/>
    </xf>
    <xf numFmtId="0" fontId="10" fillId="0" borderId="2" xfId="0" applyFont="1" applyBorder="1" applyAlignment="1">
      <alignment horizontal="center" vertical="center"/>
    </xf>
    <xf numFmtId="0" fontId="10" fillId="0" borderId="31" xfId="0" applyFont="1" applyBorder="1" applyAlignment="1">
      <alignment horizontal="center" vertical="center"/>
    </xf>
    <xf numFmtId="0" fontId="10" fillId="0" borderId="2" xfId="0" applyFont="1" applyBorder="1" applyAlignment="1">
      <alignment horizontal="center" vertical="center" wrapText="1"/>
    </xf>
    <xf numFmtId="178" fontId="1" fillId="0" borderId="1" xfId="0" applyNumberFormat="1" applyFont="1" applyBorder="1" applyAlignment="1">
      <alignment horizontal="center" vertical="center" wrapText="1"/>
    </xf>
    <xf numFmtId="178" fontId="1" fillId="0" borderId="2" xfId="0" applyNumberFormat="1" applyFont="1" applyBorder="1" applyAlignment="1">
      <alignment horizontal="center" vertical="center" wrapText="1"/>
    </xf>
    <xf numFmtId="0" fontId="11" fillId="0" borderId="31" xfId="0" applyFont="1" applyBorder="1">
      <alignment vertical="center"/>
    </xf>
    <xf numFmtId="0" fontId="11" fillId="0" borderId="31" xfId="0" applyFont="1" applyBorder="1" applyAlignment="1">
      <alignment horizontal="left" vertical="center" indent="2"/>
    </xf>
    <xf numFmtId="0" fontId="21" fillId="0" borderId="31" xfId="0" applyFont="1" applyBorder="1" applyAlignment="1">
      <alignment horizontal="left" vertical="center" indent="4"/>
    </xf>
    <xf numFmtId="0" fontId="11" fillId="0" borderId="31" xfId="0" applyFont="1" applyBorder="1" applyAlignment="1">
      <alignment horizontal="left" vertical="center" indent="4"/>
    </xf>
    <xf numFmtId="0" fontId="15" fillId="0" borderId="1" xfId="0" applyFont="1" applyBorder="1" applyAlignment="1">
      <alignment horizontal="left" vertical="center" indent="2"/>
    </xf>
    <xf numFmtId="0" fontId="11" fillId="0" borderId="31" xfId="0" applyFont="1" applyBorder="1" applyAlignment="1">
      <alignment horizontal="left" vertical="center" indent="3"/>
    </xf>
    <xf numFmtId="0" fontId="1" fillId="0" borderId="1" xfId="0" applyFont="1" applyBorder="1">
      <alignment vertical="center"/>
    </xf>
    <xf numFmtId="0" fontId="0" fillId="0" borderId="31" xfId="0" applyBorder="1" applyAlignment="1">
      <alignment horizontal="left" vertical="center" indent="2"/>
    </xf>
    <xf numFmtId="0" fontId="20" fillId="0" borderId="1" xfId="0" applyFont="1" applyBorder="1" applyAlignment="1">
      <alignment horizontal="center" vertical="center"/>
    </xf>
    <xf numFmtId="178" fontId="22" fillId="0" borderId="1" xfId="1" applyNumberFormat="1" applyFont="1" applyBorder="1">
      <alignment vertical="center"/>
    </xf>
    <xf numFmtId="178" fontId="22" fillId="0" borderId="2" xfId="1" applyNumberFormat="1" applyFont="1" applyBorder="1">
      <alignment vertical="center"/>
    </xf>
    <xf numFmtId="0" fontId="20" fillId="0" borderId="31" xfId="0" applyFont="1" applyBorder="1" applyAlignment="1">
      <alignment horizontal="center" vertical="center"/>
    </xf>
    <xf numFmtId="0" fontId="10" fillId="0" borderId="31" xfId="0" applyFont="1" applyFill="1" applyBorder="1" applyAlignment="1">
      <alignment horizontal="center" vertical="center"/>
    </xf>
    <xf numFmtId="0" fontId="11" fillId="0" borderId="31" xfId="0" applyFont="1" applyFill="1" applyBorder="1">
      <alignment vertical="center"/>
    </xf>
    <xf numFmtId="10" fontId="10" fillId="0" borderId="0" xfId="0" applyNumberFormat="1" applyFont="1" applyAlignment="1">
      <alignment horizontal="center" vertical="center"/>
    </xf>
    <xf numFmtId="0" fontId="11" fillId="0" borderId="31" xfId="0" applyFont="1" applyFill="1" applyBorder="1" applyAlignment="1">
      <alignment horizontal="left" vertical="center" indent="2"/>
    </xf>
    <xf numFmtId="0" fontId="21" fillId="0" borderId="31" xfId="0" applyFont="1" applyFill="1" applyBorder="1" applyAlignment="1">
      <alignment horizontal="left" vertical="center" indent="2" shrinkToFit="1"/>
    </xf>
    <xf numFmtId="0" fontId="21" fillId="0" borderId="31" xfId="0" applyFont="1" applyFill="1" applyBorder="1" applyAlignment="1">
      <alignment horizontal="left" vertical="center" indent="2"/>
    </xf>
    <xf numFmtId="0" fontId="15" fillId="0" borderId="1" xfId="0" applyFont="1" applyBorder="1" applyAlignment="1">
      <alignment horizontal="left" vertical="center" indent="2" shrinkToFit="1"/>
    </xf>
    <xf numFmtId="0" fontId="11" fillId="0" borderId="31" xfId="0" applyFont="1" applyFill="1" applyBorder="1" applyAlignment="1">
      <alignment horizontal="left" vertical="center" indent="2" shrinkToFit="1"/>
    </xf>
    <xf numFmtId="178" fontId="1" fillId="0" borderId="1" xfId="0" applyNumberFormat="1" applyFont="1" applyFill="1" applyBorder="1" applyAlignment="1">
      <alignment horizontal="center" vertical="center" wrapText="1"/>
    </xf>
    <xf numFmtId="178" fontId="22" fillId="0" borderId="1" xfId="1" applyNumberFormat="1" applyFont="1" applyFill="1" applyBorder="1">
      <alignment vertical="center"/>
    </xf>
    <xf numFmtId="178" fontId="22" fillId="0" borderId="2" xfId="1" applyNumberFormat="1" applyFont="1" applyFill="1" applyBorder="1">
      <alignment vertical="center"/>
    </xf>
    <xf numFmtId="0" fontId="20" fillId="0" borderId="31" xfId="0" applyFont="1" applyFill="1" applyBorder="1" applyAlignment="1">
      <alignment horizontal="center" vertical="center"/>
    </xf>
    <xf numFmtId="0" fontId="23" fillId="0" borderId="0" xfId="0" applyFont="1">
      <alignment vertical="center"/>
    </xf>
    <xf numFmtId="178" fontId="23" fillId="0" borderId="0" xfId="0" applyNumberFormat="1" applyFont="1">
      <alignment vertical="center"/>
    </xf>
    <xf numFmtId="0" fontId="20" fillId="0" borderId="0" xfId="0" applyFont="1" applyAlignment="1">
      <alignment horizontal="left" vertical="center"/>
    </xf>
    <xf numFmtId="0" fontId="24" fillId="0" borderId="0" xfId="0" applyFont="1">
      <alignment vertical="center"/>
    </xf>
    <xf numFmtId="0" fontId="1" fillId="0" borderId="0" xfId="0" applyFont="1">
      <alignment vertical="center"/>
    </xf>
    <xf numFmtId="0" fontId="1" fillId="0" borderId="0" xfId="0" applyFont="1" applyFill="1">
      <alignment vertical="center"/>
    </xf>
    <xf numFmtId="0" fontId="7" fillId="0" borderId="0" xfId="0" applyFont="1" applyFill="1">
      <alignment vertical="center"/>
    </xf>
    <xf numFmtId="0" fontId="8" fillId="0" borderId="0" xfId="0" applyFont="1" applyFill="1" applyAlignment="1">
      <alignment horizontal="center" vertical="center"/>
    </xf>
    <xf numFmtId="0" fontId="9" fillId="0" borderId="0" xfId="0" applyFont="1" applyFill="1">
      <alignment vertical="center"/>
    </xf>
    <xf numFmtId="180" fontId="22" fillId="0" borderId="1" xfId="1" applyNumberFormat="1" applyFont="1" applyFill="1" applyBorder="1" applyAlignment="1">
      <alignment horizontal="center" vertical="center"/>
    </xf>
    <xf numFmtId="0" fontId="20" fillId="0" borderId="1" xfId="0" applyFont="1" applyBorder="1" applyAlignment="1">
      <alignment horizontal="left" vertical="center"/>
    </xf>
    <xf numFmtId="180" fontId="1" fillId="0" borderId="1" xfId="1" applyNumberFormat="1" applyFont="1" applyFill="1" applyBorder="1">
      <alignment vertical="center"/>
    </xf>
    <xf numFmtId="0" fontId="25" fillId="0" borderId="32" xfId="0" applyFont="1" applyFill="1" applyBorder="1" applyAlignment="1">
      <alignment horizontal="right" vertical="center"/>
    </xf>
    <xf numFmtId="0" fontId="25" fillId="0" borderId="32" xfId="0" applyNumberFormat="1" applyFont="1" applyFill="1" applyBorder="1" applyAlignment="1">
      <alignment horizontal="right" vertical="center"/>
    </xf>
    <xf numFmtId="3" fontId="25" fillId="0" borderId="32" xfId="0" applyNumberFormat="1" applyFont="1" applyFill="1" applyBorder="1" applyAlignment="1">
      <alignment horizontal="right" vertical="center"/>
    </xf>
    <xf numFmtId="0" fontId="11" fillId="0" borderId="1" xfId="0" applyFont="1" applyBorder="1" applyAlignment="1">
      <alignment horizontal="left" vertical="center" indent="4"/>
    </xf>
    <xf numFmtId="0" fontId="11" fillId="0" borderId="1" xfId="0" applyFont="1" applyBorder="1" applyAlignment="1">
      <alignment horizontal="left" vertical="center" indent="4" shrinkToFit="1"/>
    </xf>
    <xf numFmtId="0" fontId="13" fillId="0" borderId="1" xfId="0" applyFont="1" applyBorder="1" applyAlignment="1">
      <alignment horizontal="left" vertical="center" indent="2"/>
    </xf>
    <xf numFmtId="0" fontId="11" fillId="0" borderId="1" xfId="0" applyFont="1" applyBorder="1" applyAlignment="1">
      <alignment horizontal="left" vertical="center" indent="2" shrinkToFit="1"/>
    </xf>
    <xf numFmtId="0" fontId="0" fillId="0" borderId="0" xfId="0" applyAlignment="1">
      <alignment horizontal="center" vertical="center"/>
    </xf>
    <xf numFmtId="0" fontId="24"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78" fontId="22" fillId="0" borderId="1" xfId="1" applyNumberFormat="1" applyFont="1" applyFill="1" applyBorder="1" applyAlignment="1">
      <alignment vertical="center"/>
    </xf>
    <xf numFmtId="10" fontId="24" fillId="0" borderId="0" xfId="0" applyNumberFormat="1" applyFont="1" applyAlignment="1">
      <alignment horizontal="center" vertical="center"/>
    </xf>
    <xf numFmtId="178" fontId="1" fillId="0" borderId="1" xfId="1" applyNumberFormat="1" applyFont="1" applyFill="1" applyBorder="1" applyAlignment="1">
      <alignment vertical="center"/>
    </xf>
    <xf numFmtId="181" fontId="1" fillId="0" borderId="1" xfId="1" applyNumberFormat="1" applyFont="1" applyBorder="1" applyAlignment="1">
      <alignment vertical="center"/>
    </xf>
    <xf numFmtId="178" fontId="1" fillId="0" borderId="1" xfId="1" applyNumberFormat="1" applyFont="1" applyFill="1" applyBorder="1" applyAlignment="1">
      <alignment horizontal="right" vertical="center"/>
    </xf>
    <xf numFmtId="3" fontId="1" fillId="0" borderId="1" xfId="1" applyNumberFormat="1" applyFont="1" applyFill="1" applyBorder="1" applyAlignment="1">
      <alignment horizontal="right" vertical="center"/>
    </xf>
    <xf numFmtId="0" fontId="1" fillId="0" borderId="1" xfId="1" applyNumberFormat="1" applyFont="1" applyFill="1" applyBorder="1" applyAlignment="1">
      <alignment horizontal="right" vertical="center"/>
    </xf>
    <xf numFmtId="0" fontId="13" fillId="0" borderId="1" xfId="0" applyFont="1" applyBorder="1" applyAlignment="1">
      <alignment horizontal="left" vertical="center" indent="1" shrinkToFi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2 2" xfId="49"/>
    <cellStyle name="千位分隔 4 2" xfId="50"/>
    <cellStyle name="常规 48" xfId="51"/>
    <cellStyle name="常规 2" xfId="52"/>
    <cellStyle name="常规 21 3" xfId="53"/>
    <cellStyle name="千位分隔 2" xfId="54"/>
    <cellStyle name="常规 3" xfId="55"/>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customXml" Target="../customXml/item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48</xdr:col>
      <xdr:colOff>161925</xdr:colOff>
      <xdr:row>27</xdr:row>
      <xdr:rowOff>153670</xdr:rowOff>
    </xdr:from>
    <xdr:to>
      <xdr:col>65</xdr:col>
      <xdr:colOff>57150</xdr:colOff>
      <xdr:row>50</xdr:row>
      <xdr:rowOff>125095</xdr:rowOff>
    </xdr:to>
    <xdr:pic>
      <xdr:nvPicPr>
        <xdr:cNvPr id="2" name="图片 1"/>
        <xdr:cNvPicPr>
          <a:picLocks noChangeAspect="1"/>
        </xdr:cNvPicPr>
      </xdr:nvPicPr>
      <xdr:blipFill>
        <a:blip r:embed="rId1"/>
        <a:stretch>
          <a:fillRect/>
        </a:stretch>
      </xdr:blipFill>
      <xdr:spPr>
        <a:xfrm>
          <a:off x="10316845" y="5897245"/>
          <a:ext cx="11553825" cy="4133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025\2024&#24180;&#24213;&#20915;&#31639;&#35843;&#36134;&#25968;&#25454;\2024&#24180;&#22235;&#26412;&#39044;&#31639;&#25191;&#34892;&#25968;&#25454;&#27979;&#31639;&#65288;2025.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1"/>
      <sheetName val="表2"/>
      <sheetName val="一般公共预算"/>
      <sheetName val="政府性基金"/>
      <sheetName val="表3-原表"/>
      <sheetName val="表4"/>
      <sheetName val="表5"/>
      <sheetName val="表6"/>
      <sheetName val="表7"/>
      <sheetName val="国有资本预算"/>
      <sheetName val="2025年政府性基金节余明细（非打印表）"/>
      <sheetName val="2023还本付息(非打印表）"/>
      <sheetName val="年终结余2 (非打印表)"/>
      <sheetName val="年终结余 (非打印表）"/>
    </sheetNames>
    <sheetDataSet>
      <sheetData sheetId="0">
        <row r="8">
          <cell r="D8">
            <v>-38</v>
          </cell>
        </row>
        <row r="10">
          <cell r="D10">
            <v>497911</v>
          </cell>
        </row>
        <row r="16">
          <cell r="D16">
            <v>1418</v>
          </cell>
        </row>
        <row r="17">
          <cell r="D17">
            <v>4900</v>
          </cell>
        </row>
        <row r="19">
          <cell r="D19">
            <v>16734</v>
          </cell>
        </row>
      </sheetData>
      <sheetData sheetId="1">
        <row r="12">
          <cell r="D12">
            <v>485170.1912</v>
          </cell>
        </row>
        <row r="24">
          <cell r="D24">
            <v>14693</v>
          </cell>
        </row>
      </sheetData>
      <sheetData sheetId="2"/>
      <sheetData sheetId="3">
        <row r="7">
          <cell r="D7">
            <v>-38</v>
          </cell>
        </row>
        <row r="9">
          <cell r="D9">
            <v>497911</v>
          </cell>
        </row>
        <row r="10">
          <cell r="I10">
            <v>472038</v>
          </cell>
        </row>
        <row r="13">
          <cell r="I13">
            <v>2717</v>
          </cell>
        </row>
        <row r="14">
          <cell r="I14">
            <v>5832</v>
          </cell>
        </row>
        <row r="16">
          <cell r="D16">
            <v>4900</v>
          </cell>
        </row>
        <row r="18">
          <cell r="D18">
            <v>16734</v>
          </cell>
        </row>
        <row r="20">
          <cell r="I20">
            <v>28254</v>
          </cell>
        </row>
        <row r="21">
          <cell r="I21">
            <v>356</v>
          </cell>
        </row>
        <row r="25">
          <cell r="I25">
            <v>25867</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Zeros="0" view="pageBreakPreview" zoomScaleNormal="100" workbookViewId="0">
      <selection activeCell="E6" sqref="E6"/>
    </sheetView>
  </sheetViews>
  <sheetFormatPr defaultColWidth="9" defaultRowHeight="14.25"/>
  <cols>
    <col min="1" max="1" width="37.625" customWidth="1"/>
    <col min="2" max="2" width="11.625" customWidth="1"/>
    <col min="3" max="3" width="11.125" customWidth="1"/>
    <col min="4" max="4" width="10.875" customWidth="1"/>
    <col min="5" max="5" width="8.125" customWidth="1"/>
    <col min="6" max="8" width="9" hidden="1" customWidth="1"/>
    <col min="10" max="10" width="12.625"/>
    <col min="12" max="12" width="9.375"/>
  </cols>
  <sheetData>
    <row r="1" s="118" customFormat="1" ht="24.95" customHeight="1" spans="1:10">
      <c r="A1" s="118" t="s">
        <v>0</v>
      </c>
    </row>
    <row r="2" s="119" customFormat="1" ht="45" customHeight="1" spans="1:10">
      <c r="A2" s="126" t="s">
        <v>1</v>
      </c>
      <c r="B2" s="126"/>
      <c r="C2" s="126"/>
      <c r="D2" s="126"/>
      <c r="E2" s="126"/>
    </row>
    <row r="3" s="120" customFormat="1" ht="24.95" customHeight="1" spans="1:10">
      <c r="D3" s="127" t="s">
        <v>2</v>
      </c>
      <c r="E3" s="127"/>
    </row>
    <row r="4" s="220" customFormat="1" ht="39.95" customHeight="1" spans="1:10">
      <c r="A4" s="146" t="s">
        <v>3</v>
      </c>
      <c r="B4" s="147" t="s">
        <v>4</v>
      </c>
      <c r="C4" s="147" t="s">
        <v>5</v>
      </c>
      <c r="D4" s="147" t="s">
        <v>6</v>
      </c>
      <c r="E4" s="147" t="s">
        <v>7</v>
      </c>
      <c r="G4" s="222" t="s">
        <v>8</v>
      </c>
      <c r="H4" s="223" t="s">
        <v>9</v>
      </c>
    </row>
    <row r="5" s="221" customFormat="1" ht="24.95" customHeight="1" spans="1:10">
      <c r="A5" s="185" t="s">
        <v>10</v>
      </c>
      <c r="B5" s="224">
        <f t="shared" ref="B5:G5" si="0">SUM(B6:B8,B14:B17)</f>
        <v>488711</v>
      </c>
      <c r="C5" s="224">
        <f t="shared" si="0"/>
        <v>421661</v>
      </c>
      <c r="D5" s="224">
        <f t="shared" si="0"/>
        <v>440506</v>
      </c>
      <c r="E5" s="210">
        <f>ROUND((D5/C5-1)*100,1)</f>
        <v>4.5</v>
      </c>
      <c r="G5" s="224">
        <f>SUM(G6:G8,G14:G17)</f>
        <v>363983</v>
      </c>
      <c r="H5" s="224">
        <f>C5-G5</f>
        <v>57678</v>
      </c>
      <c r="J5" s="225">
        <f>C5/B5</f>
        <v>0.862802351491986</v>
      </c>
    </row>
    <row r="6" ht="24.95" customHeight="1" spans="1:10">
      <c r="A6" s="153" t="s">
        <v>11</v>
      </c>
      <c r="B6" s="226">
        <v>14260</v>
      </c>
      <c r="C6" s="226">
        <v>12033</v>
      </c>
      <c r="D6" s="226">
        <v>11994</v>
      </c>
      <c r="E6" s="227">
        <f>ROUND((D6/C6-1)*100,1)</f>
        <v>-0.3</v>
      </c>
      <c r="G6" s="228"/>
      <c r="H6" s="229">
        <f t="shared" ref="H6:H19" si="1">C6-G6</f>
        <v>12033</v>
      </c>
    </row>
    <row r="7" ht="24.95" customHeight="1" spans="1:10">
      <c r="A7" s="153" t="s">
        <v>12</v>
      </c>
      <c r="B7" s="226">
        <v>1460</v>
      </c>
      <c r="C7" s="226">
        <v>1491</v>
      </c>
      <c r="D7" s="226">
        <v>1158</v>
      </c>
      <c r="E7" s="227">
        <f t="shared" ref="E7:E19" si="2">ROUND((D7/C7-1)*100,1)</f>
        <v>-22.3</v>
      </c>
      <c r="G7" s="228"/>
      <c r="H7" s="229">
        <f t="shared" si="1"/>
        <v>1491</v>
      </c>
    </row>
    <row r="8" ht="24.95" customHeight="1" spans="1:10">
      <c r="A8" s="153" t="s">
        <v>13</v>
      </c>
      <c r="B8" s="226">
        <f>B9+B10+B11+B12+B13</f>
        <v>435833</v>
      </c>
      <c r="C8" s="226">
        <f>C9+C10+C11+C12+C13</f>
        <v>373950</v>
      </c>
      <c r="D8" s="226">
        <f>D9+D10+D11+D12+D13</f>
        <v>365042</v>
      </c>
      <c r="E8" s="227">
        <f t="shared" si="2"/>
        <v>-2.4</v>
      </c>
      <c r="G8" s="229">
        <f>SUM(G9:G13)</f>
        <v>341399</v>
      </c>
      <c r="H8" s="229">
        <f t="shared" si="1"/>
        <v>32551</v>
      </c>
    </row>
    <row r="9" ht="24.95" customHeight="1" spans="1:10">
      <c r="A9" s="160" t="s">
        <v>14</v>
      </c>
      <c r="B9" s="226">
        <v>429715</v>
      </c>
      <c r="C9" s="226">
        <v>368551</v>
      </c>
      <c r="D9" s="226">
        <f>361842</f>
        <v>361842</v>
      </c>
      <c r="E9" s="227">
        <f t="shared" si="2"/>
        <v>-1.8</v>
      </c>
      <c r="G9" s="229">
        <v>339582</v>
      </c>
      <c r="H9" s="229">
        <f t="shared" si="1"/>
        <v>28969</v>
      </c>
    </row>
    <row r="10" ht="24.95" customHeight="1" spans="1:10">
      <c r="A10" s="160" t="s">
        <v>15</v>
      </c>
      <c r="B10" s="226">
        <v>9200</v>
      </c>
      <c r="C10" s="226">
        <v>797</v>
      </c>
      <c r="D10" s="226">
        <v>4000</v>
      </c>
      <c r="E10" s="227">
        <f t="shared" si="2"/>
        <v>401.9</v>
      </c>
      <c r="G10" s="230">
        <v>793</v>
      </c>
      <c r="H10" s="229">
        <f t="shared" si="1"/>
        <v>4</v>
      </c>
    </row>
    <row r="11" ht="24.95" customHeight="1" spans="1:10">
      <c r="A11" s="160" t="s">
        <v>16</v>
      </c>
      <c r="B11" s="226"/>
      <c r="C11" s="226"/>
      <c r="D11" s="226">
        <v>300</v>
      </c>
      <c r="E11" s="227"/>
      <c r="G11" s="228"/>
      <c r="H11" s="229">
        <f t="shared" si="1"/>
        <v>0</v>
      </c>
    </row>
    <row r="12" ht="24.95" customHeight="1" spans="1:10">
      <c r="A12" s="160" t="s">
        <v>17</v>
      </c>
      <c r="B12" s="226">
        <v>-3082</v>
      </c>
      <c r="C12" s="226">
        <v>-1580</v>
      </c>
      <c r="D12" s="226">
        <v>-1600</v>
      </c>
      <c r="E12" s="227">
        <f t="shared" si="2"/>
        <v>1.3</v>
      </c>
      <c r="G12" s="229">
        <v>-1466</v>
      </c>
      <c r="H12" s="229">
        <f t="shared" si="1"/>
        <v>-114</v>
      </c>
    </row>
    <row r="13" ht="24.95" customHeight="1" spans="1:10">
      <c r="A13" s="160" t="s">
        <v>18</v>
      </c>
      <c r="B13" s="226"/>
      <c r="C13" s="226">
        <v>6182</v>
      </c>
      <c r="D13" s="226">
        <v>500</v>
      </c>
      <c r="E13" s="227">
        <f t="shared" si="2"/>
        <v>-91.9</v>
      </c>
      <c r="G13" s="229">
        <v>2490</v>
      </c>
      <c r="H13" s="229">
        <f t="shared" si="1"/>
        <v>3692</v>
      </c>
    </row>
    <row r="14" ht="24.95" customHeight="1" spans="1:10">
      <c r="A14" s="153" t="s">
        <v>19</v>
      </c>
      <c r="B14" s="226">
        <v>800</v>
      </c>
      <c r="C14" s="226">
        <f>851+1</f>
        <v>852</v>
      </c>
      <c r="D14" s="226">
        <v>1552</v>
      </c>
      <c r="E14" s="227">
        <f t="shared" si="2"/>
        <v>82.2</v>
      </c>
      <c r="G14" s="230">
        <v>843</v>
      </c>
      <c r="H14" s="229">
        <f t="shared" si="1"/>
        <v>9</v>
      </c>
    </row>
    <row r="15" ht="24.95" customHeight="1" spans="1:10">
      <c r="A15" s="153" t="s">
        <v>20</v>
      </c>
      <c r="B15" s="226">
        <v>4600</v>
      </c>
      <c r="C15" s="226">
        <v>4631</v>
      </c>
      <c r="D15" s="226">
        <f>5400-1500</f>
        <v>3900</v>
      </c>
      <c r="E15" s="227">
        <f t="shared" si="2"/>
        <v>-15.8</v>
      </c>
      <c r="G15" s="229">
        <v>3968</v>
      </c>
      <c r="H15" s="229">
        <f t="shared" si="1"/>
        <v>663</v>
      </c>
    </row>
    <row r="16" ht="24.95" customHeight="1" spans="1:10">
      <c r="A16" s="153" t="s">
        <v>21</v>
      </c>
      <c r="B16" s="226"/>
      <c r="C16" s="226"/>
      <c r="D16" s="226"/>
      <c r="E16" s="227"/>
      <c r="G16" s="228"/>
      <c r="H16" s="229">
        <f t="shared" si="1"/>
        <v>0</v>
      </c>
    </row>
    <row r="17" ht="24.95" customHeight="1" spans="1:8">
      <c r="A17" s="153" t="s">
        <v>22</v>
      </c>
      <c r="B17" s="226">
        <f>SUM(B18:B19)</f>
        <v>31758</v>
      </c>
      <c r="C17" s="226">
        <f>SUM(C18:C19)</f>
        <v>28704</v>
      </c>
      <c r="D17" s="226">
        <f>SUM(D18:D19)</f>
        <v>56860</v>
      </c>
      <c r="E17" s="227">
        <f t="shared" si="2"/>
        <v>98.1</v>
      </c>
      <c r="G17" s="229">
        <f>SUM(G18:G19)</f>
        <v>17773</v>
      </c>
      <c r="H17" s="229">
        <f t="shared" si="1"/>
        <v>10931</v>
      </c>
    </row>
    <row r="18" ht="24.95" customHeight="1" spans="1:8">
      <c r="A18" s="231" t="s">
        <v>23</v>
      </c>
      <c r="B18" s="226"/>
      <c r="C18" s="226">
        <v>2226</v>
      </c>
      <c r="D18" s="226"/>
      <c r="E18" s="227">
        <f t="shared" si="2"/>
        <v>-100</v>
      </c>
      <c r="G18" s="229">
        <v>2222</v>
      </c>
      <c r="H18" s="229">
        <f t="shared" si="1"/>
        <v>4</v>
      </c>
    </row>
    <row r="19" ht="24.95" customHeight="1" spans="1:8">
      <c r="A19" s="231" t="s">
        <v>24</v>
      </c>
      <c r="B19" s="226">
        <v>31758</v>
      </c>
      <c r="C19" s="226">
        <v>26478</v>
      </c>
      <c r="D19" s="226">
        <v>56860</v>
      </c>
      <c r="E19" s="227">
        <f t="shared" si="2"/>
        <v>114.7</v>
      </c>
      <c r="G19" s="229">
        <v>15551</v>
      </c>
      <c r="H19" s="229">
        <f t="shared" si="1"/>
        <v>10927</v>
      </c>
    </row>
  </sheetData>
  <sheetProtection sheet="1" objects="1"/>
  <mergeCells count="2">
    <mergeCell ref="A2:E2"/>
    <mergeCell ref="D3:E3"/>
  </mergeCells>
  <printOptions horizontalCentered="1"/>
  <pageMargins left="0.786805555555556" right="0.590277777777778" top="0.984027777777778" bottom="0.786805555555556" header="0.314583333333333" footer="0.314583333333333"/>
  <pageSetup paperSize="9" orientation="portrait" horizontalDpi="600"/>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BJ40"/>
  <sheetViews>
    <sheetView view="pageBreakPreview" zoomScaleNormal="100" topLeftCell="A3" workbookViewId="0">
      <selection activeCell="AW9" sqref="AW9"/>
    </sheetView>
  </sheetViews>
  <sheetFormatPr defaultColWidth="9" defaultRowHeight="14.25"/>
  <cols>
    <col min="1" max="1" width="33.25" style="26" customWidth="1"/>
    <col min="2" max="2" width="11" style="26" hidden="1" customWidth="1"/>
    <col min="3" max="12" width="9" style="26" hidden="1" customWidth="1"/>
    <col min="13" max="13" width="7.75" style="26" hidden="1" customWidth="1"/>
    <col min="14" max="14" width="6.88333333333333" style="26" hidden="1" customWidth="1"/>
    <col min="15" max="15" width="7.75" style="26" hidden="1" customWidth="1"/>
    <col min="16" max="16" width="6.88333333333333" style="26" hidden="1" customWidth="1"/>
    <col min="17" max="17" width="7.5" style="26" customWidth="1"/>
    <col min="18" max="18" width="9.25" style="26" customWidth="1"/>
    <col min="19" max="19" width="7.75" style="26" hidden="1" customWidth="1"/>
    <col min="20" max="20" width="6" style="26" hidden="1" customWidth="1"/>
    <col min="21" max="21" width="9" style="26" hidden="1" customWidth="1"/>
    <col min="22" max="22" width="6.88333333333333" style="26" hidden="1" customWidth="1"/>
    <col min="23" max="23" width="6" style="26" hidden="1" customWidth="1"/>
    <col min="24" max="24" width="9" style="26" hidden="1" customWidth="1"/>
    <col min="25" max="25" width="6.88333333333333" style="26" hidden="1" customWidth="1"/>
    <col min="26" max="26" width="7.75" style="26" hidden="1" customWidth="1"/>
    <col min="27" max="27" width="6.88333333333333" style="26" hidden="1" customWidth="1"/>
    <col min="28" max="28" width="7.75" style="26" hidden="1" customWidth="1"/>
    <col min="29" max="29" width="9" style="26"/>
    <col min="30" max="30" width="6.88333333333333" style="26" customWidth="1"/>
    <col min="31" max="31" width="7.75" style="26" customWidth="1"/>
    <col min="32" max="32" width="6.88333333333333" style="26" customWidth="1"/>
    <col min="33" max="33" width="7.75" style="26" customWidth="1"/>
    <col min="34" max="34" width="9" style="26" hidden="1" customWidth="1"/>
    <col min="35" max="35" width="6.88333333333333" style="26" hidden="1" customWidth="1"/>
    <col min="36" max="36" width="7.75" style="26" hidden="1" customWidth="1"/>
    <col min="37" max="37" width="6.88333333333333" style="26" hidden="1" customWidth="1"/>
    <col min="38" max="38" width="7.75" style="26" hidden="1" customWidth="1"/>
    <col min="39" max="43" width="9" style="26" hidden="1" customWidth="1"/>
    <col min="44" max="16384" width="9" style="26"/>
  </cols>
  <sheetData>
    <row r="1" ht="26.25" spans="1:59">
      <c r="A1" s="27" t="s">
        <v>180</v>
      </c>
      <c r="B1" s="27"/>
      <c r="C1" s="27"/>
      <c r="D1" s="27"/>
      <c r="E1" s="27"/>
      <c r="F1" s="27"/>
      <c r="G1" s="28"/>
      <c r="H1" s="27"/>
      <c r="I1" s="27"/>
      <c r="J1" s="27"/>
      <c r="K1" s="27"/>
      <c r="L1" s="27"/>
    </row>
    <row r="2" ht="15" spans="1:59">
      <c r="A2" s="29"/>
      <c r="B2" s="30" t="s">
        <v>181</v>
      </c>
      <c r="C2" s="31" t="s">
        <v>182</v>
      </c>
      <c r="D2" s="32"/>
      <c r="E2" s="32"/>
      <c r="F2" s="32"/>
      <c r="G2" s="33"/>
      <c r="H2" s="31" t="s">
        <v>183</v>
      </c>
      <c r="I2" s="32"/>
      <c r="J2" s="32"/>
      <c r="K2" s="32"/>
      <c r="L2" s="34"/>
      <c r="M2" s="35" t="s">
        <v>184</v>
      </c>
      <c r="N2" s="36"/>
      <c r="O2" s="36"/>
      <c r="P2" s="36"/>
      <c r="Q2" s="36"/>
      <c r="R2" s="36"/>
      <c r="S2" s="31" t="s">
        <v>185</v>
      </c>
      <c r="T2" s="32"/>
      <c r="U2" s="32"/>
      <c r="V2" s="32"/>
      <c r="W2" s="37"/>
      <c r="X2" s="31" t="s">
        <v>216</v>
      </c>
      <c r="Y2" s="32"/>
      <c r="Z2" s="32"/>
      <c r="AA2" s="32"/>
      <c r="AB2" s="37"/>
      <c r="AC2" s="31" t="s">
        <v>217</v>
      </c>
      <c r="AD2" s="32"/>
      <c r="AE2" s="32"/>
      <c r="AF2" s="32"/>
      <c r="AG2" s="34"/>
      <c r="AH2" s="38" t="s">
        <v>187</v>
      </c>
      <c r="AI2" s="39"/>
      <c r="AJ2" s="39"/>
      <c r="AK2" s="39"/>
      <c r="AL2" s="40"/>
      <c r="AM2" s="31" t="s">
        <v>218</v>
      </c>
      <c r="AN2" s="32"/>
      <c r="AO2" s="32"/>
      <c r="AP2" s="32"/>
      <c r="AQ2" s="34"/>
      <c r="AR2" s="31" t="s">
        <v>219</v>
      </c>
      <c r="AS2" s="32"/>
      <c r="AT2" s="32"/>
      <c r="AU2" s="32"/>
      <c r="AV2" s="34"/>
      <c r="AW2" s="31" t="s">
        <v>220</v>
      </c>
      <c r="AX2" s="32"/>
      <c r="AY2" s="32"/>
      <c r="AZ2" s="32"/>
      <c r="BA2" s="34"/>
    </row>
    <row r="3" spans="1:59">
      <c r="A3" s="41"/>
      <c r="B3" s="42" t="s">
        <v>188</v>
      </c>
      <c r="C3" s="43" t="s">
        <v>189</v>
      </c>
      <c r="D3" s="44" t="s">
        <v>190</v>
      </c>
      <c r="E3" s="44" t="s">
        <v>191</v>
      </c>
      <c r="F3" s="44" t="s">
        <v>192</v>
      </c>
      <c r="G3" s="45" t="s">
        <v>188</v>
      </c>
      <c r="H3" s="43" t="s">
        <v>189</v>
      </c>
      <c r="I3" s="44" t="s">
        <v>190</v>
      </c>
      <c r="J3" s="44" t="s">
        <v>191</v>
      </c>
      <c r="K3" s="44" t="s">
        <v>192</v>
      </c>
      <c r="L3" s="46" t="s">
        <v>188</v>
      </c>
      <c r="M3" s="43" t="s">
        <v>189</v>
      </c>
      <c r="N3" s="44" t="s">
        <v>190</v>
      </c>
      <c r="O3" s="44" t="s">
        <v>191</v>
      </c>
      <c r="P3" s="44" t="s">
        <v>192</v>
      </c>
      <c r="Q3" s="45" t="s">
        <v>188</v>
      </c>
      <c r="R3" s="47" t="s">
        <v>221</v>
      </c>
      <c r="S3" s="43" t="s">
        <v>189</v>
      </c>
      <c r="T3" s="48" t="s">
        <v>190</v>
      </c>
      <c r="U3" s="48" t="s">
        <v>191</v>
      </c>
      <c r="V3" s="48" t="s">
        <v>192</v>
      </c>
      <c r="W3" s="49" t="s">
        <v>188</v>
      </c>
      <c r="X3" s="43" t="s">
        <v>189</v>
      </c>
      <c r="Y3" s="48" t="s">
        <v>190</v>
      </c>
      <c r="Z3" s="48" t="s">
        <v>191</v>
      </c>
      <c r="AA3" s="48" t="s">
        <v>192</v>
      </c>
      <c r="AB3" s="49" t="s">
        <v>188</v>
      </c>
      <c r="AC3" s="43" t="s">
        <v>189</v>
      </c>
      <c r="AD3" s="48" t="s">
        <v>190</v>
      </c>
      <c r="AE3" s="48" t="s">
        <v>191</v>
      </c>
      <c r="AF3" s="48" t="s">
        <v>192</v>
      </c>
      <c r="AG3" s="46" t="s">
        <v>188</v>
      </c>
      <c r="AH3" s="50" t="s">
        <v>189</v>
      </c>
      <c r="AI3" s="4" t="s">
        <v>190</v>
      </c>
      <c r="AJ3" s="4" t="s">
        <v>191</v>
      </c>
      <c r="AK3" s="4" t="s">
        <v>192</v>
      </c>
      <c r="AL3" s="51" t="s">
        <v>188</v>
      </c>
      <c r="AM3" s="43" t="s">
        <v>189</v>
      </c>
      <c r="AN3" s="48" t="s">
        <v>190</v>
      </c>
      <c r="AO3" s="48" t="s">
        <v>191</v>
      </c>
      <c r="AP3" s="48" t="s">
        <v>192</v>
      </c>
      <c r="AQ3" s="46" t="s">
        <v>188</v>
      </c>
      <c r="AR3" s="43" t="s">
        <v>189</v>
      </c>
      <c r="AS3" s="48" t="s">
        <v>190</v>
      </c>
      <c r="AT3" s="48" t="s">
        <v>191</v>
      </c>
      <c r="AU3" s="48" t="s">
        <v>192</v>
      </c>
      <c r="AV3" s="46" t="s">
        <v>188</v>
      </c>
      <c r="AW3" s="43" t="s">
        <v>189</v>
      </c>
      <c r="AX3" s="48" t="s">
        <v>190</v>
      </c>
      <c r="AY3" s="48" t="s">
        <v>191</v>
      </c>
      <c r="AZ3" s="48" t="s">
        <v>192</v>
      </c>
      <c r="BA3" s="46" t="s">
        <v>188</v>
      </c>
    </row>
    <row r="4" ht="16.5" spans="1:59">
      <c r="A4" s="52" t="s">
        <v>193</v>
      </c>
      <c r="B4" s="53">
        <f t="shared" ref="B4:G4" si="0">B5+B12+B13+B15+B14+B26</f>
        <v>21798</v>
      </c>
      <c r="C4" s="54">
        <f t="shared" si="0"/>
        <v>1083442</v>
      </c>
      <c r="D4" s="13">
        <f t="shared" si="0"/>
        <v>9014</v>
      </c>
      <c r="E4" s="13">
        <f t="shared" si="0"/>
        <v>987185</v>
      </c>
      <c r="F4" s="14">
        <f t="shared" si="0"/>
        <v>90281</v>
      </c>
      <c r="G4" s="55">
        <f t="shared" si="0"/>
        <v>36788</v>
      </c>
      <c r="H4" s="56">
        <f>H5+H12+H13+H15+H14+H26+H27</f>
        <v>841567</v>
      </c>
      <c r="I4" s="13">
        <f t="shared" ref="I4:L4" si="1">I5+I12+I13+I15+I14+I26</f>
        <v>28018</v>
      </c>
      <c r="J4" s="13">
        <f t="shared" si="1"/>
        <v>780139</v>
      </c>
      <c r="K4" s="13">
        <f t="shared" si="1"/>
        <v>110128</v>
      </c>
      <c r="L4" s="57">
        <f t="shared" si="1"/>
        <v>8359</v>
      </c>
      <c r="M4" s="58">
        <f t="shared" ref="M4:AJ4" si="2">M5+M12+M13+M15+M14+M26+M27</f>
        <v>659423</v>
      </c>
      <c r="N4" s="58">
        <f t="shared" si="2"/>
        <v>30234</v>
      </c>
      <c r="O4" s="58">
        <f t="shared" si="2"/>
        <v>617599</v>
      </c>
      <c r="P4" s="58">
        <f t="shared" si="2"/>
        <v>16384</v>
      </c>
      <c r="Q4" s="59">
        <f t="shared" si="2"/>
        <v>92462</v>
      </c>
      <c r="R4" s="60">
        <f t="shared" si="2"/>
        <v>92462</v>
      </c>
      <c r="S4" s="54">
        <f t="shared" si="2"/>
        <v>880163</v>
      </c>
      <c r="T4" s="13">
        <f t="shared" si="2"/>
        <v>5594</v>
      </c>
      <c r="U4" s="13">
        <f t="shared" si="2"/>
        <v>959818</v>
      </c>
      <c r="V4" s="13">
        <f t="shared" si="2"/>
        <v>10702</v>
      </c>
      <c r="W4" s="61">
        <f t="shared" si="2"/>
        <v>6499</v>
      </c>
      <c r="X4" s="54">
        <f t="shared" si="2"/>
        <v>1045977</v>
      </c>
      <c r="Y4" s="13">
        <f t="shared" si="2"/>
        <v>18447</v>
      </c>
      <c r="Z4" s="13">
        <f t="shared" si="2"/>
        <v>930063</v>
      </c>
      <c r="AA4" s="13">
        <f t="shared" si="2"/>
        <v>18334</v>
      </c>
      <c r="AB4" s="62">
        <f t="shared" si="2"/>
        <v>208489</v>
      </c>
      <c r="AC4" s="54">
        <f t="shared" si="2"/>
        <v>978255</v>
      </c>
      <c r="AD4" s="13">
        <f t="shared" si="2"/>
        <v>12149</v>
      </c>
      <c r="AE4" s="13">
        <f t="shared" si="2"/>
        <v>904780</v>
      </c>
      <c r="AF4" s="13">
        <f t="shared" si="2"/>
        <v>25867</v>
      </c>
      <c r="AG4" s="57">
        <f t="shared" si="2"/>
        <v>152219</v>
      </c>
      <c r="AH4" s="54">
        <f t="shared" si="2"/>
        <v>537063</v>
      </c>
      <c r="AI4" s="13">
        <f t="shared" si="2"/>
        <v>25304</v>
      </c>
      <c r="AJ4" s="61">
        <f t="shared" si="2"/>
        <v>788787.1912</v>
      </c>
      <c r="AK4" s="14">
        <f>AK5</f>
        <v>51171</v>
      </c>
      <c r="AL4" s="63">
        <f>AL5+AL12+AL13+AL14+AL15+AL26+AL27</f>
        <v>-69102.1912</v>
      </c>
      <c r="AM4" s="54">
        <f t="shared" ref="AM4:BA4" si="3">AM5+AM12+AM13+AM15+AM14+AM26+AM27</f>
        <v>781117</v>
      </c>
      <c r="AN4" s="13">
        <f t="shared" si="3"/>
        <v>6274</v>
      </c>
      <c r="AO4" s="13">
        <f t="shared" si="3"/>
        <v>901559</v>
      </c>
      <c r="AP4" s="13">
        <f t="shared" si="3"/>
        <v>28241</v>
      </c>
      <c r="AQ4" s="57">
        <f t="shared" si="3"/>
        <v>9810</v>
      </c>
      <c r="AR4" s="54">
        <f t="shared" si="3"/>
        <v>785061</v>
      </c>
      <c r="AS4" s="13">
        <f t="shared" si="3"/>
        <v>28652</v>
      </c>
      <c r="AT4" s="13">
        <f t="shared" si="3"/>
        <v>833768</v>
      </c>
      <c r="AU4" s="13">
        <f t="shared" si="3"/>
        <v>23430</v>
      </c>
      <c r="AV4" s="57">
        <f t="shared" si="3"/>
        <v>108734</v>
      </c>
      <c r="AW4" s="64">
        <f t="shared" si="3"/>
        <v>458144</v>
      </c>
      <c r="AX4" s="14">
        <f t="shared" si="3"/>
        <v>21300</v>
      </c>
      <c r="AY4" s="14">
        <f t="shared" si="3"/>
        <v>559131</v>
      </c>
      <c r="AZ4" s="14">
        <f t="shared" si="3"/>
        <v>22420</v>
      </c>
      <c r="BA4" s="65">
        <f t="shared" si="3"/>
        <v>6627</v>
      </c>
    </row>
    <row r="5" ht="16.5" spans="1:59">
      <c r="A5" s="52" t="s">
        <v>194</v>
      </c>
      <c r="B5" s="53">
        <f t="shared" ref="B5:M5" si="4">SUM(B6:B8)</f>
        <v>7000</v>
      </c>
      <c r="C5" s="54">
        <f t="shared" si="4"/>
        <v>847385</v>
      </c>
      <c r="D5" s="13"/>
      <c r="E5" s="13">
        <f t="shared" si="4"/>
        <v>760048</v>
      </c>
      <c r="F5" s="13">
        <f t="shared" si="4"/>
        <v>87762</v>
      </c>
      <c r="G5" s="55">
        <f t="shared" si="4"/>
        <v>6575</v>
      </c>
      <c r="H5" s="56">
        <f t="shared" si="4"/>
        <v>594682</v>
      </c>
      <c r="I5" s="13">
        <f t="shared" si="4"/>
        <v>0</v>
      </c>
      <c r="J5" s="13">
        <f t="shared" si="4"/>
        <v>491129</v>
      </c>
      <c r="K5" s="13">
        <f t="shared" si="4"/>
        <v>110128</v>
      </c>
      <c r="L5" s="57">
        <f t="shared" si="4"/>
        <v>0</v>
      </c>
      <c r="M5" s="64">
        <f t="shared" si="4"/>
        <v>312492</v>
      </c>
      <c r="N5" s="14"/>
      <c r="O5" s="14">
        <f t="shared" ref="O5:R5" si="5">SUM(O6:O8)</f>
        <v>302644</v>
      </c>
      <c r="P5" s="14">
        <f t="shared" si="5"/>
        <v>15924</v>
      </c>
      <c r="Q5" s="55">
        <f t="shared" si="5"/>
        <v>499</v>
      </c>
      <c r="R5" s="66">
        <f t="shared" si="5"/>
        <v>499</v>
      </c>
      <c r="S5" s="54">
        <f>SUM(S6:S11)</f>
        <v>550100</v>
      </c>
      <c r="T5" s="13">
        <f>SUM(T6:T11)</f>
        <v>0</v>
      </c>
      <c r="U5" s="13">
        <f>SUM(U6:U11)</f>
        <v>539400</v>
      </c>
      <c r="V5" s="13">
        <f>SUM(V6:V11)</f>
        <v>10702</v>
      </c>
      <c r="W5" s="61">
        <f t="shared" ref="W5:W8" si="6">Q5+S5+T5-U5-V5</f>
        <v>497</v>
      </c>
      <c r="X5" s="54">
        <f>SUM(X6:X11)</f>
        <v>579639</v>
      </c>
      <c r="Y5" s="13">
        <f>SUM(Y6:Y11)</f>
        <v>0</v>
      </c>
      <c r="Z5" s="13">
        <f>SUM(Z6:Z11)</f>
        <v>560421</v>
      </c>
      <c r="AA5" s="13">
        <f>SUM(AA6:AA11)</f>
        <v>18334</v>
      </c>
      <c r="AB5" s="61">
        <f t="shared" ref="AB5:AB8" si="7">Q5+X5+Y5-Z5-AA5</f>
        <v>1383</v>
      </c>
      <c r="AC5" s="54">
        <f>SUM(AC6:AC11)</f>
        <v>533873</v>
      </c>
      <c r="AD5" s="13">
        <f>SUM(AD6:AD11)</f>
        <v>43</v>
      </c>
      <c r="AE5" s="13">
        <f>SUM(AE6:AE11)</f>
        <v>504550</v>
      </c>
      <c r="AF5" s="13">
        <f>SUM(AF6:AF11)</f>
        <v>25867</v>
      </c>
      <c r="AG5" s="53">
        <f t="shared" ref="AG5:AG8" si="8">R5+AC5+AD5-AE5-AF5</f>
        <v>3998</v>
      </c>
      <c r="AH5" s="56">
        <f>AH6+AH7+AH8</f>
        <v>497873</v>
      </c>
      <c r="AI5" s="13"/>
      <c r="AJ5" s="13">
        <f>AJ6+AJ7+AJ8</f>
        <v>499863.1912</v>
      </c>
      <c r="AK5" s="13">
        <f>AK8</f>
        <v>51171</v>
      </c>
      <c r="AL5" s="63">
        <f t="shared" ref="AL5:AL8" si="9">AB5+AH5+AI5-AJ5-AK5</f>
        <v>-51778.1912</v>
      </c>
      <c r="AM5" s="54">
        <f>SUM(AM6:AM11)</f>
        <v>451553</v>
      </c>
      <c r="AN5" s="13">
        <f>SUM(AN6:AN11)</f>
        <v>0</v>
      </c>
      <c r="AO5" s="13">
        <f>SUM(AO6:AO11)</f>
        <v>427310</v>
      </c>
      <c r="AP5" s="13">
        <f>SUM(AP6:AP11)</f>
        <v>28241</v>
      </c>
      <c r="AQ5" s="53">
        <f t="shared" ref="AQ5:AQ8" si="10">AG5+AM5+AN5-AO5-AP5</f>
        <v>0</v>
      </c>
      <c r="AR5" s="54">
        <f>SUM(AR6:AR11)</f>
        <v>465907</v>
      </c>
      <c r="AS5" s="13">
        <f>SUM(AS6:AS11)</f>
        <v>0</v>
      </c>
      <c r="AT5" s="13">
        <f>SUM(AT6:AT11)</f>
        <v>446471</v>
      </c>
      <c r="AU5" s="13">
        <f>SUM(AU6:AU11)</f>
        <v>23430</v>
      </c>
      <c r="AV5" s="53">
        <f>AG5+AR5+AS5-AT5-AU5</f>
        <v>4</v>
      </c>
      <c r="AW5" s="64">
        <f>SUM(AW6:AW11)</f>
        <v>378194</v>
      </c>
      <c r="AX5" s="14">
        <f>SUM(AX6:AX11)</f>
        <v>0</v>
      </c>
      <c r="AY5" s="14">
        <f>SUM(AY6:AY11)</f>
        <v>373433</v>
      </c>
      <c r="AZ5" s="14">
        <f>SUM(AZ6:AZ11)</f>
        <v>4761</v>
      </c>
      <c r="BA5" s="67">
        <f>AV5+AW5+AX5-AY5-AZ5</f>
        <v>4</v>
      </c>
    </row>
    <row r="6" ht="16.5" spans="1:59">
      <c r="A6" s="68" t="s">
        <v>195</v>
      </c>
      <c r="B6" s="53">
        <v>0</v>
      </c>
      <c r="C6" s="54">
        <v>0</v>
      </c>
      <c r="D6" s="13"/>
      <c r="E6" s="13">
        <v>0</v>
      </c>
      <c r="F6" s="13"/>
      <c r="G6" s="55">
        <f t="shared" ref="G6:G8" si="11">B6+D6+(C6-E6-F6)</f>
        <v>0</v>
      </c>
      <c r="H6" s="56">
        <v>21300</v>
      </c>
      <c r="I6" s="13"/>
      <c r="J6" s="13">
        <v>21300</v>
      </c>
      <c r="K6" s="13"/>
      <c r="L6" s="57">
        <f t="shared" ref="L6:L8" si="12">G6+H6+I6-J6-K6</f>
        <v>0</v>
      </c>
      <c r="M6" s="64">
        <v>10024</v>
      </c>
      <c r="N6" s="14"/>
      <c r="O6" s="14">
        <v>9995</v>
      </c>
      <c r="P6" s="14">
        <v>29</v>
      </c>
      <c r="Q6" s="55">
        <f t="shared" ref="Q6:Q8" si="13">G6+N6+(M6-O6-P6)</f>
        <v>0</v>
      </c>
      <c r="R6" s="60"/>
      <c r="S6" s="54">
        <v>15423</v>
      </c>
      <c r="T6" s="13"/>
      <c r="U6" s="13">
        <v>15423</v>
      </c>
      <c r="V6" s="13"/>
      <c r="W6" s="61">
        <f t="shared" si="6"/>
        <v>0</v>
      </c>
      <c r="X6" s="54">
        <v>16309</v>
      </c>
      <c r="Y6" s="13"/>
      <c r="Z6" s="13">
        <v>15423</v>
      </c>
      <c r="AA6" s="13"/>
      <c r="AB6" s="61">
        <f t="shared" si="7"/>
        <v>886</v>
      </c>
      <c r="AC6" s="54">
        <f>[2]政府性基金!D7</f>
        <v>-38</v>
      </c>
      <c r="AD6" s="13">
        <v>38</v>
      </c>
      <c r="AE6" s="13"/>
      <c r="AF6" s="13"/>
      <c r="AG6" s="53">
        <f t="shared" si="8"/>
        <v>0</v>
      </c>
      <c r="AH6" s="56">
        <f>[2]表1!D8</f>
        <v>-38</v>
      </c>
      <c r="AI6" s="13"/>
      <c r="AJ6" s="13">
        <f>[2]表2!D24</f>
        <v>14693</v>
      </c>
      <c r="AK6" s="13"/>
      <c r="AL6" s="63">
        <f t="shared" si="9"/>
        <v>-13845</v>
      </c>
      <c r="AM6" s="54">
        <v>14260</v>
      </c>
      <c r="AN6" s="13"/>
      <c r="AO6" s="13">
        <v>14260</v>
      </c>
      <c r="AP6" s="13"/>
      <c r="AQ6" s="53">
        <f t="shared" si="10"/>
        <v>0</v>
      </c>
      <c r="AR6" s="54">
        <v>12033</v>
      </c>
      <c r="AS6" s="13"/>
      <c r="AT6" s="13">
        <v>12032</v>
      </c>
      <c r="AU6" s="13"/>
      <c r="AV6" s="53">
        <f>AG6+AR6+AS6-AT6-AU6</f>
        <v>1</v>
      </c>
      <c r="AW6" s="64">
        <v>11994</v>
      </c>
      <c r="AX6" s="14"/>
      <c r="AY6" s="14">
        <v>11994</v>
      </c>
      <c r="AZ6" s="14"/>
      <c r="BA6" s="67">
        <f>AV6+AW6+AX6-AY6-AZ6</f>
        <v>1</v>
      </c>
    </row>
    <row r="7" ht="16.5" spans="1:59">
      <c r="A7" s="68" t="s">
        <v>196</v>
      </c>
      <c r="B7" s="53">
        <v>0</v>
      </c>
      <c r="C7" s="54"/>
      <c r="D7" s="13"/>
      <c r="E7" s="13">
        <v>0</v>
      </c>
      <c r="F7" s="14"/>
      <c r="G7" s="55">
        <f t="shared" si="11"/>
        <v>0</v>
      </c>
      <c r="H7" s="56">
        <v>2400</v>
      </c>
      <c r="I7" s="13"/>
      <c r="J7" s="13">
        <v>2400</v>
      </c>
      <c r="K7" s="13"/>
      <c r="L7" s="57">
        <f t="shared" si="12"/>
        <v>0</v>
      </c>
      <c r="M7" s="64">
        <v>1585</v>
      </c>
      <c r="N7" s="14"/>
      <c r="O7" s="14">
        <v>1576</v>
      </c>
      <c r="P7" s="14">
        <v>9</v>
      </c>
      <c r="Q7" s="55">
        <f t="shared" si="13"/>
        <v>0</v>
      </c>
      <c r="R7" s="60"/>
      <c r="S7" s="54">
        <v>2050</v>
      </c>
      <c r="T7" s="13"/>
      <c r="U7" s="13">
        <v>2050</v>
      </c>
      <c r="V7" s="13"/>
      <c r="W7" s="61">
        <f t="shared" si="6"/>
        <v>0</v>
      </c>
      <c r="X7" s="54">
        <v>2050</v>
      </c>
      <c r="Y7" s="13"/>
      <c r="Z7" s="13">
        <v>2050</v>
      </c>
      <c r="AA7" s="13"/>
      <c r="AB7" s="61">
        <f t="shared" si="7"/>
        <v>0</v>
      </c>
      <c r="AC7" s="54">
        <f>[2]政府性基金!D8</f>
        <v>0</v>
      </c>
      <c r="AD7" s="13"/>
      <c r="AE7" s="13">
        <f>AC7</f>
        <v>0</v>
      </c>
      <c r="AF7" s="13"/>
      <c r="AG7" s="53">
        <f t="shared" si="8"/>
        <v>0</v>
      </c>
      <c r="AH7" s="56">
        <f>[2]表1!D9</f>
        <v>0</v>
      </c>
      <c r="AI7" s="13"/>
      <c r="AJ7" s="13">
        <f>AH7</f>
        <v>0</v>
      </c>
      <c r="AK7" s="14"/>
      <c r="AL7" s="63">
        <f t="shared" si="9"/>
        <v>0</v>
      </c>
      <c r="AM7" s="54">
        <v>1460</v>
      </c>
      <c r="AN7" s="13"/>
      <c r="AO7" s="13">
        <f>AM7</f>
        <v>1460</v>
      </c>
      <c r="AP7" s="13"/>
      <c r="AQ7" s="53">
        <f t="shared" si="10"/>
        <v>0</v>
      </c>
      <c r="AR7" s="54">
        <v>1491</v>
      </c>
      <c r="AS7" s="13"/>
      <c r="AT7" s="13">
        <f>1488</f>
        <v>1488</v>
      </c>
      <c r="AU7" s="13"/>
      <c r="AV7" s="53">
        <f>AG7+AR7+AS7-AT7-AU7</f>
        <v>3</v>
      </c>
      <c r="AW7" s="64">
        <v>1158</v>
      </c>
      <c r="AX7" s="14"/>
      <c r="AY7" s="14">
        <v>1158</v>
      </c>
      <c r="AZ7" s="14"/>
      <c r="BA7" s="67">
        <f>AV7+AW7+AX7-AY7-AZ7</f>
        <v>3</v>
      </c>
    </row>
    <row r="8" ht="16.5" spans="1:59">
      <c r="A8" s="68" t="s">
        <v>197</v>
      </c>
      <c r="B8" s="53">
        <v>7000</v>
      </c>
      <c r="C8" s="54">
        <v>847385</v>
      </c>
      <c r="D8" s="13"/>
      <c r="E8" s="13">
        <v>760048</v>
      </c>
      <c r="F8" s="14">
        <v>87762</v>
      </c>
      <c r="G8" s="55">
        <f t="shared" si="11"/>
        <v>6575</v>
      </c>
      <c r="H8" s="56">
        <v>570982</v>
      </c>
      <c r="I8" s="13"/>
      <c r="J8" s="13">
        <v>467429</v>
      </c>
      <c r="K8" s="13">
        <f>21799+82110+6219</f>
        <v>110128</v>
      </c>
      <c r="L8" s="57">
        <f t="shared" si="12"/>
        <v>0</v>
      </c>
      <c r="M8" s="64">
        <v>300883</v>
      </c>
      <c r="N8" s="14"/>
      <c r="O8" s="14">
        <v>291073</v>
      </c>
      <c r="P8" s="14">
        <v>15886</v>
      </c>
      <c r="Q8" s="55">
        <f t="shared" si="13"/>
        <v>499</v>
      </c>
      <c r="R8" s="60">
        <v>499</v>
      </c>
      <c r="S8" s="54">
        <v>496627</v>
      </c>
      <c r="T8" s="13"/>
      <c r="U8" s="13">
        <f>485927</f>
        <v>485927</v>
      </c>
      <c r="V8" s="13">
        <f>10690+12</f>
        <v>10702</v>
      </c>
      <c r="W8" s="61">
        <f t="shared" si="6"/>
        <v>497</v>
      </c>
      <c r="X8" s="54">
        <v>525280</v>
      </c>
      <c r="Y8" s="13"/>
      <c r="Z8" s="13">
        <f>464672+23829+18447</f>
        <v>506948</v>
      </c>
      <c r="AA8" s="13">
        <f>18322+12</f>
        <v>18334</v>
      </c>
      <c r="AB8" s="61">
        <f t="shared" si="7"/>
        <v>497</v>
      </c>
      <c r="AC8" s="54">
        <f>[2]政府性基金!D9</f>
        <v>497911</v>
      </c>
      <c r="AD8" s="13">
        <v>5</v>
      </c>
      <c r="AE8" s="13">
        <f>[2]政府性基金!I10+12</f>
        <v>472050</v>
      </c>
      <c r="AF8" s="13">
        <v>25867</v>
      </c>
      <c r="AG8" s="53">
        <f t="shared" si="8"/>
        <v>498</v>
      </c>
      <c r="AH8" s="56">
        <f>[2]表1!D10</f>
        <v>497911</v>
      </c>
      <c r="AI8" s="13"/>
      <c r="AJ8" s="13">
        <f>[2]表2!D12</f>
        <v>485170.1912</v>
      </c>
      <c r="AK8" s="14">
        <f>[2]政府性基金!I25+21240+4064</f>
        <v>51171</v>
      </c>
      <c r="AL8" s="63">
        <f t="shared" si="9"/>
        <v>-37933.1912</v>
      </c>
      <c r="AM8" s="54">
        <v>435833</v>
      </c>
      <c r="AN8" s="13"/>
      <c r="AO8" s="13">
        <f>426850+21240-40000</f>
        <v>408090</v>
      </c>
      <c r="AP8" s="13">
        <f>4374+23867</f>
        <v>28241</v>
      </c>
      <c r="AQ8" s="53">
        <f t="shared" si="10"/>
        <v>0</v>
      </c>
      <c r="AR8" s="54">
        <v>373950</v>
      </c>
      <c r="AS8" s="13"/>
      <c r="AT8" s="13">
        <v>351018</v>
      </c>
      <c r="AU8" s="69">
        <f>21240+2190</f>
        <v>23430</v>
      </c>
      <c r="AV8" s="53">
        <f>AG8+AR8+AS8-AT8-AU8</f>
        <v>0</v>
      </c>
      <c r="AW8" s="64">
        <v>365042</v>
      </c>
      <c r="AX8" s="14"/>
      <c r="AY8" s="14">
        <v>360281</v>
      </c>
      <c r="AZ8" s="15">
        <f>21300-17659+1120</f>
        <v>4761</v>
      </c>
      <c r="BA8" s="67">
        <f>AV8+AW8+AX8-AY8-AZ8</f>
        <v>0</v>
      </c>
    </row>
    <row r="9" ht="16.5" spans="1:59">
      <c r="A9" s="70" t="s">
        <v>51</v>
      </c>
      <c r="B9" s="53"/>
      <c r="C9" s="54"/>
      <c r="D9" s="13"/>
      <c r="E9" s="13"/>
      <c r="F9" s="14"/>
      <c r="G9" s="55"/>
      <c r="H9" s="56"/>
      <c r="I9" s="13"/>
      <c r="J9" s="13"/>
      <c r="K9" s="13"/>
      <c r="L9" s="57"/>
      <c r="M9" s="64"/>
      <c r="N9" s="14"/>
      <c r="O9" s="14"/>
      <c r="P9" s="14"/>
      <c r="Q9" s="55"/>
      <c r="R9" s="60"/>
      <c r="S9" s="54"/>
      <c r="T9" s="13"/>
      <c r="U9" s="13"/>
      <c r="V9" s="13"/>
      <c r="W9" s="61"/>
      <c r="X9" s="54"/>
      <c r="Y9" s="13"/>
      <c r="Z9" s="13"/>
      <c r="AA9" s="13"/>
      <c r="AB9" s="61"/>
      <c r="AC9" s="54"/>
      <c r="AD9" s="13"/>
      <c r="AE9" s="13"/>
      <c r="AF9" s="13"/>
      <c r="AG9" s="53"/>
      <c r="AH9" s="56"/>
      <c r="AI9" s="13"/>
      <c r="AJ9" s="13"/>
      <c r="AK9" s="14"/>
      <c r="AL9" s="63"/>
      <c r="AM9" s="54"/>
      <c r="AN9" s="13"/>
      <c r="AO9" s="13"/>
      <c r="AP9" s="13"/>
      <c r="AQ9" s="53"/>
      <c r="AR9" s="54">
        <f>24833</f>
        <v>24833</v>
      </c>
      <c r="AS9" s="13"/>
      <c r="AT9" s="69">
        <v>24833</v>
      </c>
      <c r="AU9" s="13"/>
      <c r="AV9" s="53">
        <f>AG9+AR9+AS9-AT9-AU9</f>
        <v>0</v>
      </c>
      <c r="AW9" s="64"/>
      <c r="AX9" s="14"/>
      <c r="AY9" s="15"/>
      <c r="AZ9" s="14"/>
      <c r="BA9" s="67">
        <f>AV9+AW9+AX9-AY9-AZ9</f>
        <v>0</v>
      </c>
    </row>
    <row r="10" ht="16.5" spans="1:59">
      <c r="A10" s="52" t="s">
        <v>222</v>
      </c>
      <c r="B10" s="53"/>
      <c r="C10" s="54"/>
      <c r="D10" s="13"/>
      <c r="E10" s="13"/>
      <c r="F10" s="14"/>
      <c r="G10" s="55"/>
      <c r="H10" s="56"/>
      <c r="I10" s="13"/>
      <c r="J10" s="13"/>
      <c r="K10" s="13"/>
      <c r="L10" s="57"/>
      <c r="M10" s="64"/>
      <c r="N10" s="14"/>
      <c r="O10" s="14"/>
      <c r="P10" s="14"/>
      <c r="Q10" s="55"/>
      <c r="R10" s="60"/>
      <c r="S10" s="54"/>
      <c r="T10" s="13"/>
      <c r="U10" s="13"/>
      <c r="V10" s="13"/>
      <c r="W10" s="61"/>
      <c r="X10" s="54"/>
      <c r="Y10" s="13"/>
      <c r="Z10" s="13"/>
      <c r="AA10" s="13"/>
      <c r="AB10" s="61"/>
      <c r="AC10" s="54"/>
      <c r="AD10" s="13"/>
      <c r="AE10" s="13"/>
      <c r="AF10" s="13"/>
      <c r="AG10" s="53"/>
      <c r="AH10" s="56"/>
      <c r="AI10" s="13"/>
      <c r="AJ10" s="13"/>
      <c r="AK10" s="14"/>
      <c r="AL10" s="63"/>
      <c r="AM10" s="54"/>
      <c r="AN10" s="13"/>
      <c r="AO10" s="13"/>
      <c r="AP10" s="13"/>
      <c r="AQ10" s="53"/>
      <c r="AR10" s="54">
        <v>10200</v>
      </c>
      <c r="AS10" s="13"/>
      <c r="AT10" s="69">
        <v>10200</v>
      </c>
      <c r="AU10" s="13"/>
      <c r="AV10" s="53">
        <f t="shared" ref="AV10:AV25" si="14">AG10+AR10+AS10-AT10-AU10</f>
        <v>0</v>
      </c>
      <c r="AW10" s="64"/>
      <c r="AX10" s="14"/>
      <c r="AY10" s="15">
        <v>0</v>
      </c>
      <c r="AZ10" s="14"/>
      <c r="BA10" s="67">
        <f t="shared" ref="BA10:BA27" si="15">AV10+AW10+AX10-AY10-AZ10</f>
        <v>0</v>
      </c>
    </row>
    <row r="11" ht="16.5" spans="1:59">
      <c r="A11" s="52" t="s">
        <v>198</v>
      </c>
      <c r="B11" s="53"/>
      <c r="C11" s="54">
        <v>15000</v>
      </c>
      <c r="D11" s="13"/>
      <c r="E11" s="13">
        <v>15000</v>
      </c>
      <c r="F11" s="14"/>
      <c r="G11" s="55"/>
      <c r="H11" s="56"/>
      <c r="I11" s="13"/>
      <c r="J11" s="13"/>
      <c r="K11" s="13"/>
      <c r="L11" s="57"/>
      <c r="M11" s="64"/>
      <c r="N11" s="14"/>
      <c r="O11" s="14"/>
      <c r="P11" s="14"/>
      <c r="Q11" s="55"/>
      <c r="R11" s="60"/>
      <c r="S11" s="54">
        <v>36000</v>
      </c>
      <c r="T11" s="13"/>
      <c r="U11" s="13">
        <v>36000</v>
      </c>
      <c r="V11" s="13"/>
      <c r="W11" s="61">
        <f t="shared" ref="W11:W14" si="16">Q11+S11+T11-U11-V11</f>
        <v>0</v>
      </c>
      <c r="X11" s="54">
        <v>36000</v>
      </c>
      <c r="Y11" s="13"/>
      <c r="Z11" s="13">
        <v>36000</v>
      </c>
      <c r="AA11" s="13"/>
      <c r="AB11" s="61">
        <f t="shared" ref="AB11:AB14" si="17">Q11+X11+Y11-Z11-AA11</f>
        <v>0</v>
      </c>
      <c r="AC11" s="54">
        <v>36000</v>
      </c>
      <c r="AD11" s="13"/>
      <c r="AE11" s="13">
        <v>32500</v>
      </c>
      <c r="AF11" s="13"/>
      <c r="AG11" s="53">
        <f t="shared" ref="AG11:AG14" si="18">R11+AC11+AD11-AE11-AF11</f>
        <v>3500</v>
      </c>
      <c r="AH11" s="56"/>
      <c r="AI11" s="13"/>
      <c r="AJ11" s="13"/>
      <c r="AK11" s="14"/>
      <c r="AL11" s="63">
        <f t="shared" ref="AL11:AL14" si="19">AB11+AH11+AI11-AJ11-AK11</f>
        <v>0</v>
      </c>
      <c r="AM11" s="54">
        <v>0</v>
      </c>
      <c r="AN11" s="13"/>
      <c r="AO11" s="13">
        <v>3500</v>
      </c>
      <c r="AP11" s="13"/>
      <c r="AQ11" s="53">
        <f t="shared" ref="AQ11:AQ14" si="20">AG11+AM11+AN11-AO11-AP11</f>
        <v>0</v>
      </c>
      <c r="AR11" s="54">
        <v>43400</v>
      </c>
      <c r="AS11" s="13"/>
      <c r="AT11" s="69">
        <v>46900</v>
      </c>
      <c r="AU11" s="13"/>
      <c r="AV11" s="53">
        <f t="shared" si="14"/>
        <v>0</v>
      </c>
      <c r="AW11" s="64"/>
      <c r="AX11" s="14"/>
      <c r="AY11" s="15">
        <f>AV11</f>
        <v>0</v>
      </c>
      <c r="AZ11" s="14"/>
      <c r="BA11" s="67">
        <f t="shared" si="15"/>
        <v>0</v>
      </c>
    </row>
    <row r="12" ht="16.5" spans="1:59">
      <c r="A12" s="52" t="s">
        <v>199</v>
      </c>
      <c r="B12" s="53">
        <v>2000</v>
      </c>
      <c r="C12" s="54">
        <v>4686</v>
      </c>
      <c r="D12" s="13"/>
      <c r="E12" s="13">
        <v>2767</v>
      </c>
      <c r="F12" s="14">
        <v>2519</v>
      </c>
      <c r="G12" s="55">
        <f t="shared" ref="G12:G14" si="21">B12+D12+(C12-E12-F12)</f>
        <v>1400</v>
      </c>
      <c r="H12" s="56">
        <v>4000</v>
      </c>
      <c r="I12" s="13"/>
      <c r="J12" s="13">
        <v>4000</v>
      </c>
      <c r="K12" s="13"/>
      <c r="L12" s="57">
        <f t="shared" ref="L12:L14" si="22">G12+H12+I12-J12-K12</f>
        <v>1400</v>
      </c>
      <c r="M12" s="64">
        <v>3883</v>
      </c>
      <c r="N12" s="14"/>
      <c r="O12" s="14">
        <v>3784</v>
      </c>
      <c r="P12" s="14">
        <v>399</v>
      </c>
      <c r="Q12" s="55">
        <f t="shared" ref="Q12:Q14" si="23">G12+N12+(M12-O12-P12)</f>
        <v>1100</v>
      </c>
      <c r="R12" s="60">
        <v>1100</v>
      </c>
      <c r="S12" s="54">
        <v>1400</v>
      </c>
      <c r="T12" s="13"/>
      <c r="U12" s="13">
        <v>2218</v>
      </c>
      <c r="V12" s="13"/>
      <c r="W12" s="61">
        <f t="shared" si="16"/>
        <v>282</v>
      </c>
      <c r="X12" s="54">
        <v>1400</v>
      </c>
      <c r="Y12" s="13"/>
      <c r="Z12" s="13">
        <v>2218</v>
      </c>
      <c r="AA12" s="13"/>
      <c r="AB12" s="61">
        <f t="shared" si="17"/>
        <v>282</v>
      </c>
      <c r="AC12" s="54">
        <v>1418</v>
      </c>
      <c r="AD12" s="13">
        <v>199</v>
      </c>
      <c r="AE12" s="13">
        <f>[2]政府性基金!I13</f>
        <v>2717</v>
      </c>
      <c r="AF12" s="13"/>
      <c r="AG12" s="53">
        <f t="shared" si="18"/>
        <v>0</v>
      </c>
      <c r="AH12" s="56">
        <f>[2]表1!D16</f>
        <v>1418</v>
      </c>
      <c r="AI12" s="13"/>
      <c r="AJ12" s="13">
        <f>AH12</f>
        <v>1418</v>
      </c>
      <c r="AK12" s="14"/>
      <c r="AL12" s="63">
        <f t="shared" si="19"/>
        <v>282</v>
      </c>
      <c r="AM12" s="54">
        <v>800</v>
      </c>
      <c r="AN12" s="13">
        <v>1900</v>
      </c>
      <c r="AO12" s="13">
        <f>1850+850</f>
        <v>2700</v>
      </c>
      <c r="AP12" s="13"/>
      <c r="AQ12" s="53">
        <f t="shared" si="20"/>
        <v>0</v>
      </c>
      <c r="AR12" s="54">
        <v>852</v>
      </c>
      <c r="AS12" s="13"/>
      <c r="AT12" s="13">
        <f>2659-1809</f>
        <v>850</v>
      </c>
      <c r="AU12" s="13"/>
      <c r="AV12" s="53">
        <f t="shared" si="14"/>
        <v>2</v>
      </c>
      <c r="AW12" s="64">
        <v>1552</v>
      </c>
      <c r="AX12" s="14"/>
      <c r="AY12" s="14">
        <v>1552</v>
      </c>
      <c r="AZ12" s="14"/>
      <c r="BA12" s="67">
        <f t="shared" si="15"/>
        <v>2</v>
      </c>
    </row>
    <row r="13" ht="16.5" spans="1:59">
      <c r="A13" s="52" t="s">
        <v>200</v>
      </c>
      <c r="B13" s="53">
        <v>0</v>
      </c>
      <c r="C13" s="54">
        <v>5423</v>
      </c>
      <c r="D13" s="13"/>
      <c r="E13" s="13">
        <v>4430</v>
      </c>
      <c r="F13" s="13"/>
      <c r="G13" s="55">
        <f t="shared" si="21"/>
        <v>993</v>
      </c>
      <c r="H13" s="56">
        <f>6169+800</f>
        <v>6969</v>
      </c>
      <c r="I13" s="13"/>
      <c r="J13" s="13">
        <v>6969</v>
      </c>
      <c r="K13" s="13"/>
      <c r="L13" s="57">
        <f t="shared" si="22"/>
        <v>993</v>
      </c>
      <c r="M13" s="64">
        <v>7456</v>
      </c>
      <c r="N13" s="14"/>
      <c r="O13" s="14">
        <v>7489</v>
      </c>
      <c r="P13" s="14">
        <v>61</v>
      </c>
      <c r="Q13" s="55">
        <f t="shared" si="23"/>
        <v>899</v>
      </c>
      <c r="R13" s="60">
        <v>900</v>
      </c>
      <c r="S13" s="54">
        <v>4760</v>
      </c>
      <c r="T13" s="13"/>
      <c r="U13" s="13">
        <v>4760</v>
      </c>
      <c r="V13" s="13"/>
      <c r="W13" s="61">
        <f t="shared" si="16"/>
        <v>899</v>
      </c>
      <c r="X13" s="54">
        <v>4760</v>
      </c>
      <c r="Y13" s="13"/>
      <c r="Z13" s="13">
        <v>4760</v>
      </c>
      <c r="AA13" s="13"/>
      <c r="AB13" s="61">
        <f t="shared" si="17"/>
        <v>899</v>
      </c>
      <c r="AC13" s="54">
        <f>[2]政府性基金!D16</f>
        <v>4900</v>
      </c>
      <c r="AD13" s="13">
        <v>32</v>
      </c>
      <c r="AE13" s="13">
        <f>[2]政府性基金!I14</f>
        <v>5832</v>
      </c>
      <c r="AF13" s="13"/>
      <c r="AG13" s="53">
        <v>0</v>
      </c>
      <c r="AH13" s="56">
        <f>[2]表1!D17</f>
        <v>4900</v>
      </c>
      <c r="AI13" s="13"/>
      <c r="AJ13" s="13">
        <f>AH13</f>
        <v>4900</v>
      </c>
      <c r="AK13" s="13"/>
      <c r="AL13" s="63">
        <f t="shared" si="19"/>
        <v>899</v>
      </c>
      <c r="AM13" s="54">
        <v>4600</v>
      </c>
      <c r="AN13" s="13"/>
      <c r="AO13" s="13">
        <v>4600</v>
      </c>
      <c r="AP13" s="13"/>
      <c r="AQ13" s="53">
        <f t="shared" si="20"/>
        <v>0</v>
      </c>
      <c r="AR13" s="54">
        <v>4631</v>
      </c>
      <c r="AS13" s="13"/>
      <c r="AT13" s="13">
        <v>4521</v>
      </c>
      <c r="AU13" s="13"/>
      <c r="AV13" s="53">
        <f t="shared" si="14"/>
        <v>110</v>
      </c>
      <c r="AW13" s="64">
        <v>3900</v>
      </c>
      <c r="AX13" s="14"/>
      <c r="AY13" s="14">
        <v>3900</v>
      </c>
      <c r="AZ13" s="14"/>
      <c r="BA13" s="67">
        <f t="shared" si="15"/>
        <v>110</v>
      </c>
      <c r="BG13" s="26">
        <f>380918-900-36500</f>
        <v>343518</v>
      </c>
    </row>
    <row r="14" ht="16.5" spans="1:59">
      <c r="A14" s="71" t="s">
        <v>201</v>
      </c>
      <c r="B14" s="53">
        <v>1</v>
      </c>
      <c r="C14" s="54">
        <f>6869</f>
        <v>6869</v>
      </c>
      <c r="D14" s="13">
        <f>8733+281</f>
        <v>9014</v>
      </c>
      <c r="E14" s="13">
        <f>15602+281</f>
        <v>15883</v>
      </c>
      <c r="F14" s="13"/>
      <c r="G14" s="55">
        <f t="shared" si="21"/>
        <v>1</v>
      </c>
      <c r="H14" s="56">
        <f>13822+1583+216</f>
        <v>15621</v>
      </c>
      <c r="I14" s="13">
        <f>6219+21799</f>
        <v>28018</v>
      </c>
      <c r="J14" s="14">
        <f>20041+23374+224</f>
        <v>43639</v>
      </c>
      <c r="K14" s="13"/>
      <c r="L14" s="57">
        <f t="shared" si="22"/>
        <v>1</v>
      </c>
      <c r="M14" s="64">
        <v>13505</v>
      </c>
      <c r="N14" s="14">
        <f>6860+23374</f>
        <v>30234</v>
      </c>
      <c r="O14" s="14">
        <f>23374+20040+325</f>
        <v>43739</v>
      </c>
      <c r="P14" s="14"/>
      <c r="Q14" s="55">
        <f t="shared" si="23"/>
        <v>1</v>
      </c>
      <c r="R14" s="60">
        <v>1</v>
      </c>
      <c r="S14" s="54">
        <v>22910</v>
      </c>
      <c r="T14" s="13">
        <f>12+5582</f>
        <v>5594</v>
      </c>
      <c r="U14" s="14">
        <f>28258+234+12</f>
        <v>28504</v>
      </c>
      <c r="V14" s="13"/>
      <c r="W14" s="61">
        <f t="shared" si="16"/>
        <v>1</v>
      </c>
      <c r="X14" s="54">
        <v>10176</v>
      </c>
      <c r="Y14" s="13">
        <f>18328+119</f>
        <v>18447</v>
      </c>
      <c r="Z14" s="14">
        <f>28258+353+12</f>
        <v>28623</v>
      </c>
      <c r="AA14" s="13"/>
      <c r="AB14" s="61">
        <f t="shared" si="17"/>
        <v>1</v>
      </c>
      <c r="AC14" s="54">
        <f>[2]政府性基金!D18</f>
        <v>16734</v>
      </c>
      <c r="AD14" s="13">
        <v>11875</v>
      </c>
      <c r="AE14" s="14">
        <f>[2]政府性基金!I20+[2]政府性基金!I21</f>
        <v>28610</v>
      </c>
      <c r="AF14" s="13"/>
      <c r="AG14" s="53">
        <f t="shared" si="18"/>
        <v>0</v>
      </c>
      <c r="AH14" s="56">
        <f>[2]表1!D19</f>
        <v>16734</v>
      </c>
      <c r="AI14" s="13">
        <f>4014+50</f>
        <v>4064</v>
      </c>
      <c r="AJ14" s="13">
        <f>[2]政府性基金!I20+230</f>
        <v>28484</v>
      </c>
      <c r="AK14" s="13"/>
      <c r="AL14" s="63">
        <f t="shared" si="19"/>
        <v>-7685</v>
      </c>
      <c r="AM14" s="54">
        <v>31758</v>
      </c>
      <c r="AN14" s="13">
        <f>4374</f>
        <v>4374</v>
      </c>
      <c r="AO14" s="14">
        <f>35833+299</f>
        <v>36132</v>
      </c>
      <c r="AP14" s="13"/>
      <c r="AQ14" s="53">
        <f t="shared" si="20"/>
        <v>0</v>
      </c>
      <c r="AR14" s="54">
        <v>28704</v>
      </c>
      <c r="AS14" s="69">
        <f>2190+5222</f>
        <v>7412</v>
      </c>
      <c r="AT14" s="14">
        <f>35833+283</f>
        <v>36116</v>
      </c>
      <c r="AU14" s="13"/>
      <c r="AV14" s="53">
        <f t="shared" si="14"/>
        <v>0</v>
      </c>
      <c r="AW14" s="64">
        <v>56860</v>
      </c>
      <c r="AX14" s="15"/>
      <c r="AY14" s="14">
        <f>38971+230</f>
        <v>39201</v>
      </c>
      <c r="AZ14" s="14">
        <v>17659</v>
      </c>
      <c r="BA14" s="67">
        <f t="shared" si="15"/>
        <v>0</v>
      </c>
    </row>
    <row r="15" ht="16.5" spans="1:59">
      <c r="A15" s="52" t="s">
        <v>202</v>
      </c>
      <c r="B15" s="67">
        <f t="shared" ref="B15:AQ15" si="24">SUM(B19:B25)</f>
        <v>2797</v>
      </c>
      <c r="C15" s="64">
        <f t="shared" si="24"/>
        <v>3979</v>
      </c>
      <c r="D15" s="14">
        <f t="shared" si="24"/>
        <v>0</v>
      </c>
      <c r="E15" s="14">
        <f t="shared" si="24"/>
        <v>2827</v>
      </c>
      <c r="F15" s="14">
        <f t="shared" si="24"/>
        <v>0</v>
      </c>
      <c r="G15" s="67">
        <f t="shared" si="24"/>
        <v>3949</v>
      </c>
      <c r="H15" s="59">
        <f t="shared" si="24"/>
        <v>5048</v>
      </c>
      <c r="I15" s="59">
        <f t="shared" si="24"/>
        <v>0</v>
      </c>
      <c r="J15" s="59">
        <f t="shared" si="24"/>
        <v>5048</v>
      </c>
      <c r="K15" s="59">
        <f t="shared" si="24"/>
        <v>0</v>
      </c>
      <c r="L15" s="59">
        <f t="shared" si="24"/>
        <v>3949</v>
      </c>
      <c r="M15" s="64">
        <f t="shared" si="24"/>
        <v>6594</v>
      </c>
      <c r="N15" s="14">
        <f t="shared" si="24"/>
        <v>0</v>
      </c>
      <c r="O15" s="14">
        <f t="shared" si="24"/>
        <v>2532</v>
      </c>
      <c r="P15" s="14">
        <f t="shared" si="24"/>
        <v>0</v>
      </c>
      <c r="Q15" s="67">
        <f t="shared" si="24"/>
        <v>8011</v>
      </c>
      <c r="R15" s="59">
        <f t="shared" si="24"/>
        <v>8011</v>
      </c>
      <c r="S15" s="59">
        <f t="shared" si="24"/>
        <v>23033</v>
      </c>
      <c r="T15" s="59">
        <f t="shared" si="24"/>
        <v>0</v>
      </c>
      <c r="U15" s="59">
        <f t="shared" si="24"/>
        <v>25025</v>
      </c>
      <c r="V15" s="59">
        <f t="shared" si="24"/>
        <v>0</v>
      </c>
      <c r="W15" s="59">
        <f t="shared" si="24"/>
        <v>4819</v>
      </c>
      <c r="X15" s="59">
        <f t="shared" si="24"/>
        <v>23033</v>
      </c>
      <c r="Y15" s="59">
        <f t="shared" si="24"/>
        <v>0</v>
      </c>
      <c r="Z15" s="59">
        <f t="shared" si="24"/>
        <v>25025</v>
      </c>
      <c r="AA15" s="59">
        <f t="shared" si="24"/>
        <v>0</v>
      </c>
      <c r="AB15" s="59">
        <f t="shared" si="24"/>
        <v>6019</v>
      </c>
      <c r="AC15" s="64">
        <f t="shared" si="24"/>
        <v>26261</v>
      </c>
      <c r="AD15" s="14">
        <f t="shared" si="24"/>
        <v>0</v>
      </c>
      <c r="AE15" s="14">
        <f t="shared" si="24"/>
        <v>14365</v>
      </c>
      <c r="AF15" s="14">
        <f t="shared" si="24"/>
        <v>0</v>
      </c>
      <c r="AG15" s="67">
        <f t="shared" si="24"/>
        <v>19907</v>
      </c>
      <c r="AH15" s="59">
        <f t="shared" si="24"/>
        <v>0</v>
      </c>
      <c r="AI15" s="59">
        <f t="shared" si="24"/>
        <v>0</v>
      </c>
      <c r="AJ15" s="59">
        <f t="shared" si="24"/>
        <v>2052</v>
      </c>
      <c r="AK15" s="59">
        <f t="shared" si="24"/>
        <v>0</v>
      </c>
      <c r="AL15" s="59">
        <f t="shared" si="24"/>
        <v>3967</v>
      </c>
      <c r="AM15" s="64">
        <f t="shared" si="24"/>
        <v>19747</v>
      </c>
      <c r="AN15" s="14">
        <f t="shared" si="24"/>
        <v>0</v>
      </c>
      <c r="AO15" s="14">
        <f t="shared" si="24"/>
        <v>29844</v>
      </c>
      <c r="AP15" s="14">
        <f t="shared" si="24"/>
        <v>0</v>
      </c>
      <c r="AQ15" s="67">
        <f t="shared" si="24"/>
        <v>9810</v>
      </c>
      <c r="AR15" s="64">
        <f>SUM(AR16:AR25)</f>
        <v>20541</v>
      </c>
      <c r="AS15" s="14">
        <f t="shared" ref="AS15:AU15" si="25">SUM(AS19:AS25)</f>
        <v>0</v>
      </c>
      <c r="AT15" s="14">
        <f>SUM(AT16:AT25)</f>
        <v>18677</v>
      </c>
      <c r="AU15" s="14">
        <f t="shared" si="25"/>
        <v>0</v>
      </c>
      <c r="AV15" s="53">
        <f t="shared" si="14"/>
        <v>21771</v>
      </c>
      <c r="AW15" s="64">
        <f>SUM(AW16:AW25)</f>
        <v>1500</v>
      </c>
      <c r="AX15" s="14">
        <f>SUM(AX16:AX25)</f>
        <v>0</v>
      </c>
      <c r="AY15" s="60">
        <f>SUM(AY16:AY25)</f>
        <v>16760</v>
      </c>
      <c r="AZ15" s="14">
        <f>SUM(AZ19:AZ25)</f>
        <v>0</v>
      </c>
      <c r="BA15" s="67">
        <f t="shared" si="15"/>
        <v>6511</v>
      </c>
    </row>
    <row r="16" ht="16.5" spans="1:59">
      <c r="A16" s="68" t="s">
        <v>203</v>
      </c>
      <c r="B16" s="53"/>
      <c r="C16" s="54"/>
      <c r="D16" s="13"/>
      <c r="E16" s="13"/>
      <c r="F16" s="13"/>
      <c r="G16" s="55"/>
      <c r="H16" s="56"/>
      <c r="I16" s="13"/>
      <c r="J16" s="13"/>
      <c r="K16" s="13"/>
      <c r="L16" s="57"/>
      <c r="M16" s="64"/>
      <c r="N16" s="14"/>
      <c r="O16" s="14"/>
      <c r="P16" s="14"/>
      <c r="Q16" s="55"/>
      <c r="R16" s="60"/>
      <c r="S16" s="54">
        <v>220</v>
      </c>
      <c r="T16" s="13"/>
      <c r="U16" s="13"/>
      <c r="V16" s="13"/>
      <c r="W16" s="61">
        <f>Q16+S16+T16-U16-V16</f>
        <v>220</v>
      </c>
      <c r="X16" s="54">
        <v>220</v>
      </c>
      <c r="Y16" s="13"/>
      <c r="Z16" s="13"/>
      <c r="AA16" s="13"/>
      <c r="AB16" s="61">
        <f>Q16+X16+Y16-Z16-AA16</f>
        <v>220</v>
      </c>
      <c r="AC16" s="54"/>
      <c r="AD16" s="13"/>
      <c r="AE16" s="72"/>
      <c r="AF16" s="13"/>
      <c r="AG16" s="53">
        <f>R16+AC16+AD16-AE16-AF16</f>
        <v>0</v>
      </c>
      <c r="AH16" s="56"/>
      <c r="AI16" s="13"/>
      <c r="AJ16" s="61"/>
      <c r="AK16" s="13"/>
      <c r="AL16" s="73">
        <f>AB16+AH16+AI16-AJ16-AK16</f>
        <v>220</v>
      </c>
      <c r="AM16" s="14"/>
      <c r="AN16" s="14"/>
      <c r="AO16" s="14"/>
      <c r="AP16" s="74"/>
      <c r="AQ16" s="53">
        <f>AG16+AM16+AN16-AO16-AP16</f>
        <v>0</v>
      </c>
      <c r="AR16" s="58">
        <v>120</v>
      </c>
      <c r="AS16" s="14"/>
      <c r="AT16" s="14"/>
      <c r="AU16" s="74"/>
      <c r="AV16" s="53">
        <f t="shared" si="14"/>
        <v>120</v>
      </c>
      <c r="AW16" s="58"/>
      <c r="AX16" s="14"/>
      <c r="AY16" s="14"/>
      <c r="AZ16" s="75"/>
      <c r="BA16" s="67">
        <f t="shared" si="15"/>
        <v>120</v>
      </c>
    </row>
    <row r="17" ht="16.5" spans="1:62">
      <c r="A17" s="68" t="s">
        <v>200</v>
      </c>
      <c r="B17" s="53"/>
      <c r="C17" s="54"/>
      <c r="D17" s="13"/>
      <c r="E17" s="13"/>
      <c r="F17" s="13"/>
      <c r="G17" s="55"/>
      <c r="H17" s="56"/>
      <c r="I17" s="13"/>
      <c r="J17" s="13"/>
      <c r="K17" s="13"/>
      <c r="L17" s="57"/>
      <c r="M17" s="64"/>
      <c r="N17" s="14"/>
      <c r="O17" s="14"/>
      <c r="P17" s="14"/>
      <c r="Q17" s="55"/>
      <c r="R17" s="60"/>
      <c r="S17" s="54"/>
      <c r="T17" s="13"/>
      <c r="U17" s="13"/>
      <c r="V17" s="13"/>
      <c r="W17" s="61"/>
      <c r="X17" s="54"/>
      <c r="Y17" s="13"/>
      <c r="Z17" s="13"/>
      <c r="AA17" s="13"/>
      <c r="AB17" s="61"/>
      <c r="AC17" s="54"/>
      <c r="AD17" s="13"/>
      <c r="AE17" s="72"/>
      <c r="AF17" s="13"/>
      <c r="AG17" s="53"/>
      <c r="AH17" s="56"/>
      <c r="AI17" s="13"/>
      <c r="AJ17" s="61"/>
      <c r="AK17" s="13"/>
      <c r="AL17" s="73"/>
      <c r="AM17" s="14"/>
      <c r="AN17" s="14"/>
      <c r="AO17" s="14"/>
      <c r="AP17" s="74"/>
      <c r="AQ17" s="53"/>
      <c r="AR17" s="58">
        <v>141</v>
      </c>
      <c r="AS17" s="14"/>
      <c r="AT17" s="14"/>
      <c r="AU17" s="74"/>
      <c r="AV17" s="53">
        <f t="shared" ref="AV17:AV27" si="26">AG17+AR17+AS17-AT17-AU17</f>
        <v>141</v>
      </c>
      <c r="AW17" s="58">
        <v>1500</v>
      </c>
      <c r="AX17" s="14"/>
      <c r="AY17" s="14">
        <v>1500</v>
      </c>
      <c r="AZ17" s="75"/>
      <c r="BA17" s="67">
        <f t="shared" si="15"/>
        <v>141</v>
      </c>
    </row>
    <row r="18" ht="16.5" spans="1:62">
      <c r="A18" s="68" t="s">
        <v>199</v>
      </c>
      <c r="B18" s="53"/>
      <c r="C18" s="54"/>
      <c r="D18" s="13"/>
      <c r="E18" s="13"/>
      <c r="F18" s="13"/>
      <c r="G18" s="55"/>
      <c r="H18" s="56"/>
      <c r="I18" s="13"/>
      <c r="J18" s="13"/>
      <c r="K18" s="13"/>
      <c r="L18" s="57"/>
      <c r="M18" s="64"/>
      <c r="N18" s="14"/>
      <c r="O18" s="14"/>
      <c r="P18" s="14"/>
      <c r="Q18" s="55"/>
      <c r="R18" s="60"/>
      <c r="S18" s="54"/>
      <c r="T18" s="13"/>
      <c r="U18" s="13"/>
      <c r="V18" s="13"/>
      <c r="W18" s="61"/>
      <c r="X18" s="54"/>
      <c r="Y18" s="13"/>
      <c r="Z18" s="13"/>
      <c r="AA18" s="13"/>
      <c r="AB18" s="61"/>
      <c r="AC18" s="54"/>
      <c r="AD18" s="13"/>
      <c r="AE18" s="72"/>
      <c r="AF18" s="13"/>
      <c r="AG18" s="53"/>
      <c r="AH18" s="56"/>
      <c r="AI18" s="13"/>
      <c r="AJ18" s="61"/>
      <c r="AK18" s="13"/>
      <c r="AL18" s="73"/>
      <c r="AM18" s="14"/>
      <c r="AN18" s="14"/>
      <c r="AO18" s="14"/>
      <c r="AP18" s="74"/>
      <c r="AQ18" s="53"/>
      <c r="AR18" s="58">
        <v>8</v>
      </c>
      <c r="AS18" s="14"/>
      <c r="AT18" s="14"/>
      <c r="AU18" s="74"/>
      <c r="AV18" s="53">
        <f t="shared" si="26"/>
        <v>8</v>
      </c>
      <c r="AW18" s="58"/>
      <c r="AX18" s="14"/>
      <c r="AY18" s="14"/>
      <c r="AZ18" s="75"/>
      <c r="BA18" s="67">
        <f t="shared" si="15"/>
        <v>8</v>
      </c>
    </row>
    <row r="19" ht="16.5" spans="1:62">
      <c r="A19" s="68" t="s">
        <v>204</v>
      </c>
      <c r="B19" s="53">
        <v>11</v>
      </c>
      <c r="C19" s="54">
        <v>33</v>
      </c>
      <c r="D19" s="13"/>
      <c r="E19" s="13">
        <v>26</v>
      </c>
      <c r="F19" s="13"/>
      <c r="G19" s="55">
        <f t="shared" ref="G19:G27" si="27">B19+D19+(C19-E19-F19)</f>
        <v>18</v>
      </c>
      <c r="H19" s="56">
        <v>55</v>
      </c>
      <c r="I19" s="13"/>
      <c r="J19" s="13">
        <v>55</v>
      </c>
      <c r="K19" s="13"/>
      <c r="L19" s="57">
        <f t="shared" ref="L19:L23" si="28">G19+H19+I19-J19-K19</f>
        <v>18</v>
      </c>
      <c r="M19" s="64">
        <v>5</v>
      </c>
      <c r="N19" s="14"/>
      <c r="O19" s="14">
        <v>23</v>
      </c>
      <c r="P19" s="14"/>
      <c r="Q19" s="55">
        <f t="shared" ref="Q19:Q23" si="29">G19+N19+(M19-O19-P19)</f>
        <v>0</v>
      </c>
      <c r="R19" s="60"/>
      <c r="S19" s="54">
        <v>34</v>
      </c>
      <c r="T19" s="13"/>
      <c r="U19" s="13">
        <v>34</v>
      </c>
      <c r="V19" s="13"/>
      <c r="W19" s="61">
        <f t="shared" ref="W19:W24" si="30">Q19+S19+T19-U19-V19</f>
        <v>0</v>
      </c>
      <c r="X19" s="54">
        <v>34</v>
      </c>
      <c r="Y19" s="13"/>
      <c r="Z19" s="13">
        <v>34</v>
      </c>
      <c r="AA19" s="13"/>
      <c r="AB19" s="61">
        <f t="shared" ref="AB19:AB26" si="31">Q19+X19+Y19-Z19-AA19</f>
        <v>0</v>
      </c>
      <c r="AC19" s="76">
        <v>34</v>
      </c>
      <c r="AD19" s="13"/>
      <c r="AE19" s="72">
        <v>34</v>
      </c>
      <c r="AF19" s="13"/>
      <c r="AG19" s="53">
        <f t="shared" ref="AG19:AG27" si="32">R19+AC19+AD19-AE19-AF19</f>
        <v>0</v>
      </c>
      <c r="AH19" s="56"/>
      <c r="AI19" s="13"/>
      <c r="AJ19" s="61">
        <v>0</v>
      </c>
      <c r="AK19" s="13"/>
      <c r="AL19" s="73">
        <f t="shared" ref="AL19:AL27" si="33">AB19+AH19+AI19-AJ19-AK19</f>
        <v>0</v>
      </c>
      <c r="AM19" s="14">
        <v>39</v>
      </c>
      <c r="AN19" s="14"/>
      <c r="AO19" s="14"/>
      <c r="AP19" s="74"/>
      <c r="AQ19" s="53">
        <f t="shared" ref="AQ19:AQ27" si="34">AG19+AM19+AN19-AO19-AP19</f>
        <v>39</v>
      </c>
      <c r="AR19" s="58">
        <v>39</v>
      </c>
      <c r="AS19" s="14"/>
      <c r="AT19" s="14">
        <v>37</v>
      </c>
      <c r="AU19" s="74"/>
      <c r="AV19" s="53">
        <f t="shared" si="26"/>
        <v>2</v>
      </c>
      <c r="AW19" s="58"/>
      <c r="AX19" s="14"/>
      <c r="AY19" s="14"/>
      <c r="AZ19" s="75"/>
      <c r="BA19" s="67">
        <f t="shared" si="15"/>
        <v>2</v>
      </c>
    </row>
    <row r="20" ht="16.5" spans="1:62">
      <c r="A20" s="68" t="s">
        <v>205</v>
      </c>
      <c r="B20" s="53">
        <v>0</v>
      </c>
      <c r="C20" s="54"/>
      <c r="D20" s="13"/>
      <c r="E20" s="13"/>
      <c r="F20" s="13"/>
      <c r="G20" s="55">
        <f t="shared" si="27"/>
        <v>0</v>
      </c>
      <c r="H20" s="56"/>
      <c r="I20" s="13"/>
      <c r="J20" s="13"/>
      <c r="K20" s="13"/>
      <c r="L20" s="57">
        <f t="shared" si="28"/>
        <v>0</v>
      </c>
      <c r="M20" s="64"/>
      <c r="N20" s="14"/>
      <c r="O20" s="14"/>
      <c r="P20" s="14"/>
      <c r="Q20" s="55">
        <f t="shared" si="29"/>
        <v>0</v>
      </c>
      <c r="R20" s="60"/>
      <c r="S20" s="54">
        <v>200</v>
      </c>
      <c r="T20" s="13"/>
      <c r="U20" s="13"/>
      <c r="V20" s="13"/>
      <c r="W20" s="61">
        <f t="shared" si="30"/>
        <v>200</v>
      </c>
      <c r="X20" s="54">
        <v>200</v>
      </c>
      <c r="Y20" s="13"/>
      <c r="Z20" s="13"/>
      <c r="AA20" s="13"/>
      <c r="AB20" s="61">
        <f t="shared" si="31"/>
        <v>200</v>
      </c>
      <c r="AC20" s="76">
        <v>200</v>
      </c>
      <c r="AD20" s="13"/>
      <c r="AE20" s="13">
        <v>100</v>
      </c>
      <c r="AF20" s="13"/>
      <c r="AG20" s="77">
        <f t="shared" si="32"/>
        <v>100</v>
      </c>
      <c r="AH20" s="56"/>
      <c r="AI20" s="13"/>
      <c r="AJ20" s="61"/>
      <c r="AK20" s="13"/>
      <c r="AL20" s="73">
        <f t="shared" si="33"/>
        <v>200</v>
      </c>
      <c r="AM20" s="14"/>
      <c r="AN20" s="14"/>
      <c r="AO20" s="14"/>
      <c r="AP20" s="74"/>
      <c r="AQ20" s="53">
        <f t="shared" si="34"/>
        <v>100</v>
      </c>
      <c r="AR20" s="58"/>
      <c r="AS20" s="14"/>
      <c r="AT20" s="14">
        <v>100</v>
      </c>
      <c r="AU20" s="74"/>
      <c r="AV20" s="53">
        <f t="shared" si="26"/>
        <v>0</v>
      </c>
      <c r="AW20" s="58"/>
      <c r="AX20" s="14"/>
      <c r="AY20" s="14"/>
      <c r="AZ20" s="75"/>
      <c r="BA20" s="67">
        <f t="shared" si="15"/>
        <v>0</v>
      </c>
    </row>
    <row r="21" ht="16.5" spans="1:62">
      <c r="A21" s="68" t="s">
        <v>206</v>
      </c>
      <c r="B21" s="53">
        <v>665</v>
      </c>
      <c r="C21" s="54">
        <v>837</v>
      </c>
      <c r="D21" s="13"/>
      <c r="E21" s="13">
        <v>652</v>
      </c>
      <c r="F21" s="13"/>
      <c r="G21" s="55">
        <f t="shared" si="27"/>
        <v>850</v>
      </c>
      <c r="H21" s="56">
        <v>1267</v>
      </c>
      <c r="I21" s="13"/>
      <c r="J21" s="13">
        <v>1267</v>
      </c>
      <c r="K21" s="13"/>
      <c r="L21" s="57">
        <f t="shared" si="28"/>
        <v>850</v>
      </c>
      <c r="M21" s="64">
        <v>1267</v>
      </c>
      <c r="N21" s="14"/>
      <c r="O21" s="14">
        <v>711</v>
      </c>
      <c r="P21" s="14"/>
      <c r="Q21" s="55">
        <f t="shared" si="29"/>
        <v>1406</v>
      </c>
      <c r="R21" s="60">
        <v>1406</v>
      </c>
      <c r="S21" s="54">
        <v>524</v>
      </c>
      <c r="T21" s="13"/>
      <c r="U21" s="13">
        <v>825</v>
      </c>
      <c r="V21" s="13"/>
      <c r="W21" s="61">
        <f t="shared" si="30"/>
        <v>1105</v>
      </c>
      <c r="X21" s="54">
        <v>524</v>
      </c>
      <c r="Y21" s="13"/>
      <c r="Z21" s="13">
        <v>825</v>
      </c>
      <c r="AA21" s="13"/>
      <c r="AB21" s="61">
        <f t="shared" si="31"/>
        <v>1105</v>
      </c>
      <c r="AC21" s="76">
        <v>524</v>
      </c>
      <c r="AD21" s="13"/>
      <c r="AE21" s="72">
        <v>1164</v>
      </c>
      <c r="AF21" s="13"/>
      <c r="AG21" s="77">
        <f t="shared" si="32"/>
        <v>766</v>
      </c>
      <c r="AH21" s="56"/>
      <c r="AI21" s="13"/>
      <c r="AJ21" s="61"/>
      <c r="AK21" s="13"/>
      <c r="AL21" s="73">
        <f t="shared" si="33"/>
        <v>1105</v>
      </c>
      <c r="AM21" s="14">
        <f>1886+305</f>
        <v>2191</v>
      </c>
      <c r="AN21" s="14"/>
      <c r="AO21" s="14">
        <v>93</v>
      </c>
      <c r="AP21" s="74"/>
      <c r="AQ21" s="53">
        <f t="shared" si="34"/>
        <v>2864</v>
      </c>
      <c r="AR21" s="58">
        <f>1886+305</f>
        <v>2191</v>
      </c>
      <c r="AS21" s="14"/>
      <c r="AT21" s="14">
        <v>1025</v>
      </c>
      <c r="AU21" s="74"/>
      <c r="AV21" s="53">
        <f t="shared" si="26"/>
        <v>1932</v>
      </c>
      <c r="AW21" s="58"/>
      <c r="AX21" s="14"/>
      <c r="AY21" s="14"/>
      <c r="AZ21" s="75"/>
      <c r="BA21" s="67">
        <f t="shared" si="15"/>
        <v>1932</v>
      </c>
    </row>
    <row r="22" ht="16.5" spans="1:62">
      <c r="A22" s="68" t="s">
        <v>207</v>
      </c>
      <c r="B22" s="53">
        <v>15</v>
      </c>
      <c r="C22" s="54">
        <v>600</v>
      </c>
      <c r="D22" s="13"/>
      <c r="E22" s="13">
        <v>5</v>
      </c>
      <c r="F22" s="13"/>
      <c r="G22" s="55">
        <f t="shared" si="27"/>
        <v>610</v>
      </c>
      <c r="H22" s="56">
        <v>1200</v>
      </c>
      <c r="I22" s="13"/>
      <c r="J22" s="13">
        <v>1200</v>
      </c>
      <c r="K22" s="13"/>
      <c r="L22" s="57">
        <f t="shared" si="28"/>
        <v>610</v>
      </c>
      <c r="M22" s="64">
        <v>300</v>
      </c>
      <c r="N22" s="14"/>
      <c r="O22" s="14">
        <v>10</v>
      </c>
      <c r="P22" s="14"/>
      <c r="Q22" s="55">
        <f t="shared" si="29"/>
        <v>900</v>
      </c>
      <c r="R22" s="60">
        <v>900</v>
      </c>
      <c r="S22" s="54"/>
      <c r="T22" s="13"/>
      <c r="U22" s="13">
        <f>300+300</f>
        <v>600</v>
      </c>
      <c r="V22" s="13"/>
      <c r="W22" s="61">
        <f t="shared" si="30"/>
        <v>300</v>
      </c>
      <c r="X22" s="54"/>
      <c r="Y22" s="13"/>
      <c r="Z22" s="13">
        <f>300+300</f>
        <v>600</v>
      </c>
      <c r="AA22" s="13"/>
      <c r="AB22" s="61">
        <f t="shared" si="31"/>
        <v>300</v>
      </c>
      <c r="AC22" s="76">
        <v>200</v>
      </c>
      <c r="AD22" s="13"/>
      <c r="AE22" s="72">
        <v>377</v>
      </c>
      <c r="AF22" s="13"/>
      <c r="AG22" s="77">
        <f t="shared" si="32"/>
        <v>723</v>
      </c>
      <c r="AH22" s="56"/>
      <c r="AI22" s="13"/>
      <c r="AJ22" s="61"/>
      <c r="AK22" s="13"/>
      <c r="AL22" s="73">
        <f t="shared" si="33"/>
        <v>300</v>
      </c>
      <c r="AM22" s="14"/>
      <c r="AN22" s="14"/>
      <c r="AO22" s="14"/>
      <c r="AP22" s="74"/>
      <c r="AQ22" s="53">
        <f t="shared" si="34"/>
        <v>723</v>
      </c>
      <c r="AR22" s="58"/>
      <c r="AS22" s="14"/>
      <c r="AT22" s="14">
        <v>410</v>
      </c>
      <c r="AU22" s="74"/>
      <c r="AV22" s="53">
        <f t="shared" si="26"/>
        <v>313</v>
      </c>
      <c r="AW22" s="58"/>
      <c r="AX22" s="14"/>
      <c r="AY22" s="14"/>
      <c r="AZ22" s="75"/>
      <c r="BA22" s="67">
        <f t="shared" si="15"/>
        <v>313</v>
      </c>
    </row>
    <row r="23" ht="16.5" spans="1:62">
      <c r="A23" s="68" t="s">
        <v>208</v>
      </c>
      <c r="B23" s="53">
        <v>1607</v>
      </c>
      <c r="C23" s="56">
        <v>2509</v>
      </c>
      <c r="D23" s="13"/>
      <c r="E23" s="13">
        <v>1645</v>
      </c>
      <c r="F23" s="13"/>
      <c r="G23" s="63">
        <f t="shared" si="27"/>
        <v>2471</v>
      </c>
      <c r="H23" s="56">
        <v>2526</v>
      </c>
      <c r="I23" s="13"/>
      <c r="J23" s="13">
        <v>2526</v>
      </c>
      <c r="K23" s="13"/>
      <c r="L23" s="57">
        <f t="shared" si="28"/>
        <v>2471</v>
      </c>
      <c r="M23" s="58">
        <f>2776+1046</f>
        <v>3822</v>
      </c>
      <c r="N23" s="14"/>
      <c r="O23" s="14">
        <v>1788</v>
      </c>
      <c r="P23" s="14"/>
      <c r="Q23" s="63">
        <f t="shared" si="29"/>
        <v>4505</v>
      </c>
      <c r="R23" s="60">
        <v>4505</v>
      </c>
      <c r="S23" s="54">
        <v>834</v>
      </c>
      <c r="T23" s="13"/>
      <c r="U23" s="13">
        <v>2400</v>
      </c>
      <c r="V23" s="13"/>
      <c r="W23" s="61">
        <f t="shared" si="30"/>
        <v>2939</v>
      </c>
      <c r="X23" s="54">
        <v>834</v>
      </c>
      <c r="Y23" s="13"/>
      <c r="Z23" s="13">
        <v>2400</v>
      </c>
      <c r="AA23" s="13"/>
      <c r="AB23" s="61">
        <f t="shared" si="31"/>
        <v>2939</v>
      </c>
      <c r="AC23" s="54">
        <v>2885</v>
      </c>
      <c r="AD23" s="13"/>
      <c r="AE23" s="13">
        <v>1899</v>
      </c>
      <c r="AF23" s="13"/>
      <c r="AG23" s="77">
        <f t="shared" si="32"/>
        <v>5491</v>
      </c>
      <c r="AH23" s="56"/>
      <c r="AI23" s="13"/>
      <c r="AJ23" s="61">
        <v>1893</v>
      </c>
      <c r="AK23" s="13"/>
      <c r="AL23" s="73">
        <f t="shared" si="33"/>
        <v>1046</v>
      </c>
      <c r="AM23" s="14">
        <v>2045</v>
      </c>
      <c r="AN23" s="14"/>
      <c r="AO23" s="14">
        <v>2352</v>
      </c>
      <c r="AP23" s="74"/>
      <c r="AQ23" s="53">
        <f t="shared" si="34"/>
        <v>5184</v>
      </c>
      <c r="AR23" s="58">
        <f>2436+24</f>
        <v>2460</v>
      </c>
      <c r="AS23" s="14"/>
      <c r="AT23" s="14">
        <v>3096</v>
      </c>
      <c r="AU23" s="74"/>
      <c r="AV23" s="53">
        <f t="shared" si="26"/>
        <v>4855</v>
      </c>
      <c r="AW23" s="58"/>
      <c r="AX23" s="14"/>
      <c r="AY23" s="14">
        <v>1460</v>
      </c>
      <c r="AZ23" s="75"/>
      <c r="BA23" s="67">
        <f t="shared" si="15"/>
        <v>3395</v>
      </c>
    </row>
    <row r="24" ht="16.5" spans="1:62">
      <c r="A24" s="71" t="s">
        <v>209</v>
      </c>
      <c r="B24" s="53"/>
      <c r="C24" s="56"/>
      <c r="D24" s="13"/>
      <c r="E24" s="13"/>
      <c r="F24" s="13"/>
      <c r="G24" s="63">
        <f t="shared" si="27"/>
        <v>0</v>
      </c>
      <c r="H24" s="56"/>
      <c r="I24" s="13"/>
      <c r="J24" s="13"/>
      <c r="K24" s="13"/>
      <c r="L24" s="57"/>
      <c r="M24" s="58"/>
      <c r="N24" s="14"/>
      <c r="O24" s="14"/>
      <c r="P24" s="14"/>
      <c r="Q24" s="63"/>
      <c r="R24" s="60"/>
      <c r="S24" s="54">
        <v>21166</v>
      </c>
      <c r="T24" s="13"/>
      <c r="U24" s="13">
        <v>21166</v>
      </c>
      <c r="V24" s="13"/>
      <c r="W24" s="61">
        <f t="shared" si="30"/>
        <v>0</v>
      </c>
      <c r="X24" s="54">
        <v>21166</v>
      </c>
      <c r="Y24" s="13"/>
      <c r="Z24" s="13">
        <v>21166</v>
      </c>
      <c r="AA24" s="13"/>
      <c r="AB24" s="61">
        <f t="shared" si="31"/>
        <v>0</v>
      </c>
      <c r="AC24" s="76">
        <v>22418</v>
      </c>
      <c r="AD24" s="13"/>
      <c r="AE24" s="78">
        <f>9500+991</f>
        <v>10491</v>
      </c>
      <c r="AF24" s="13"/>
      <c r="AG24" s="77">
        <f t="shared" si="32"/>
        <v>11927</v>
      </c>
      <c r="AH24" s="56"/>
      <c r="AI24" s="13"/>
      <c r="AJ24" s="61"/>
      <c r="AK24" s="13"/>
      <c r="AL24" s="73">
        <f t="shared" si="33"/>
        <v>0</v>
      </c>
      <c r="AM24" s="14">
        <v>15472</v>
      </c>
      <c r="AN24" s="14"/>
      <c r="AO24" s="14">
        <f>15472+11927</f>
        <v>27399</v>
      </c>
      <c r="AP24" s="74"/>
      <c r="AQ24" s="53">
        <f t="shared" si="34"/>
        <v>0</v>
      </c>
      <c r="AR24" s="58">
        <v>15582</v>
      </c>
      <c r="AS24" s="14"/>
      <c r="AT24" s="14">
        <v>13709</v>
      </c>
      <c r="AU24" s="74"/>
      <c r="AV24" s="53">
        <f t="shared" si="26"/>
        <v>13800</v>
      </c>
      <c r="AW24" s="58"/>
      <c r="AX24" s="14"/>
      <c r="AY24" s="14">
        <f>13800</f>
        <v>13800</v>
      </c>
      <c r="AZ24" s="75"/>
      <c r="BA24" s="67">
        <f t="shared" si="15"/>
        <v>0</v>
      </c>
      <c r="BJ24" s="26">
        <f>35833+291-31758-250</f>
        <v>4116</v>
      </c>
    </row>
    <row r="25" ht="16.5" spans="1:62">
      <c r="A25" s="71" t="s">
        <v>223</v>
      </c>
      <c r="B25" s="53">
        <v>499</v>
      </c>
      <c r="C25" s="56"/>
      <c r="D25" s="13"/>
      <c r="E25" s="13">
        <v>499</v>
      </c>
      <c r="F25" s="13"/>
      <c r="G25" s="63">
        <f t="shared" si="27"/>
        <v>0</v>
      </c>
      <c r="H25" s="56"/>
      <c r="I25" s="13"/>
      <c r="J25" s="13"/>
      <c r="K25" s="13"/>
      <c r="L25" s="57"/>
      <c r="M25" s="58">
        <v>1200</v>
      </c>
      <c r="N25" s="14"/>
      <c r="O25" s="14">
        <v>0</v>
      </c>
      <c r="P25" s="14"/>
      <c r="Q25" s="63">
        <f t="shared" ref="Q25:Q27" si="35">G25+N25+(M25-O25-P25)</f>
        <v>1200</v>
      </c>
      <c r="R25" s="60">
        <v>1200</v>
      </c>
      <c r="S25" s="54">
        <v>275</v>
      </c>
      <c r="T25" s="13"/>
      <c r="U25" s="13"/>
      <c r="V25" s="13"/>
      <c r="W25" s="61">
        <v>275</v>
      </c>
      <c r="X25" s="54">
        <v>275</v>
      </c>
      <c r="Y25" s="13"/>
      <c r="Z25" s="13"/>
      <c r="AA25" s="13"/>
      <c r="AB25" s="61">
        <f t="shared" si="31"/>
        <v>1475</v>
      </c>
      <c r="AC25" s="54"/>
      <c r="AD25" s="13"/>
      <c r="AE25" s="13">
        <v>300</v>
      </c>
      <c r="AF25" s="13"/>
      <c r="AG25" s="77">
        <f t="shared" si="32"/>
        <v>900</v>
      </c>
      <c r="AH25" s="79"/>
      <c r="AI25" s="80"/>
      <c r="AJ25" s="61">
        <v>159</v>
      </c>
      <c r="AK25" s="80"/>
      <c r="AL25" s="73">
        <f t="shared" si="33"/>
        <v>1316</v>
      </c>
      <c r="AM25" s="14"/>
      <c r="AN25" s="14"/>
      <c r="AO25" s="14"/>
      <c r="AP25" s="74"/>
      <c r="AQ25" s="53">
        <f t="shared" si="34"/>
        <v>900</v>
      </c>
      <c r="AR25" s="58"/>
      <c r="AS25" s="14"/>
      <c r="AT25" s="14">
        <v>300</v>
      </c>
      <c r="AU25" s="74"/>
      <c r="AV25" s="53">
        <f t="shared" si="26"/>
        <v>600</v>
      </c>
      <c r="AW25" s="58"/>
      <c r="AX25" s="14"/>
      <c r="AY25" s="14"/>
      <c r="AZ25" s="75"/>
      <c r="BA25" s="67">
        <f t="shared" si="15"/>
        <v>600</v>
      </c>
    </row>
    <row r="26" ht="16.5" spans="1:62">
      <c r="A26" s="71" t="s">
        <v>211</v>
      </c>
      <c r="B26" s="53">
        <v>10000</v>
      </c>
      <c r="C26" s="56">
        <v>215100</v>
      </c>
      <c r="D26" s="13"/>
      <c r="E26" s="13">
        <v>201230</v>
      </c>
      <c r="F26" s="13"/>
      <c r="G26" s="63">
        <f t="shared" si="27"/>
        <v>23870</v>
      </c>
      <c r="H26" s="56">
        <v>207500</v>
      </c>
      <c r="I26" s="13"/>
      <c r="J26" s="13">
        <f>207500+21854</f>
        <v>229354</v>
      </c>
      <c r="K26" s="13"/>
      <c r="L26" s="57">
        <f>G26+H26+I26-J26-K26</f>
        <v>2016</v>
      </c>
      <c r="M26" s="58">
        <v>307746</v>
      </c>
      <c r="N26" s="14"/>
      <c r="O26" s="14">
        <f>156708+92956</f>
        <v>249664</v>
      </c>
      <c r="P26" s="14"/>
      <c r="Q26" s="63">
        <f t="shared" si="35"/>
        <v>81952</v>
      </c>
      <c r="R26" s="60">
        <v>81951</v>
      </c>
      <c r="S26" s="54">
        <v>210700</v>
      </c>
      <c r="T26" s="13"/>
      <c r="U26" s="13">
        <f>210700+81951</f>
        <v>292651</v>
      </c>
      <c r="V26" s="13"/>
      <c r="W26" s="61">
        <f>Q26+S26+T26-U26-V26</f>
        <v>1</v>
      </c>
      <c r="X26" s="54">
        <f>210700+149009</f>
        <v>359709</v>
      </c>
      <c r="Y26" s="13"/>
      <c r="Z26" s="13">
        <f>125256+28900+90000-2400</f>
        <v>241756</v>
      </c>
      <c r="AA26" s="13"/>
      <c r="AB26" s="61">
        <f t="shared" si="31"/>
        <v>199905</v>
      </c>
      <c r="AC26" s="54">
        <f>210700+149009+4100-36000</f>
        <v>327809</v>
      </c>
      <c r="AD26" s="13"/>
      <c r="AE26" s="13">
        <f>281446</f>
        <v>281446</v>
      </c>
      <c r="AF26" s="13"/>
      <c r="AG26" s="53">
        <f t="shared" si="32"/>
        <v>128314</v>
      </c>
      <c r="AH26" s="79"/>
      <c r="AI26" s="80"/>
      <c r="AJ26" s="13">
        <v>199904</v>
      </c>
      <c r="AK26" s="80"/>
      <c r="AL26" s="63">
        <f t="shared" si="33"/>
        <v>1</v>
      </c>
      <c r="AM26" s="81">
        <v>241733</v>
      </c>
      <c r="AN26" s="82"/>
      <c r="AO26" s="82">
        <f>AM26+AG26</f>
        <v>370047</v>
      </c>
      <c r="AP26" s="13"/>
      <c r="AQ26" s="53">
        <f t="shared" si="34"/>
        <v>0</v>
      </c>
      <c r="AR26" s="81">
        <f>342859-30926-43400-10200-24833</f>
        <v>233500</v>
      </c>
      <c r="AS26" s="82"/>
      <c r="AT26" s="82">
        <f>299800-24833</f>
        <v>274967</v>
      </c>
      <c r="AU26" s="13"/>
      <c r="AV26" s="53">
        <f t="shared" si="26"/>
        <v>86847</v>
      </c>
      <c r="AW26" s="83"/>
      <c r="AX26" s="84"/>
      <c r="AY26" s="84">
        <f>AV26</f>
        <v>86847</v>
      </c>
      <c r="AZ26" s="14"/>
      <c r="BA26" s="67">
        <f t="shared" si="15"/>
        <v>0</v>
      </c>
    </row>
    <row r="27" ht="17.25" spans="1:62">
      <c r="A27" s="85" t="s">
        <v>212</v>
      </c>
      <c r="B27" s="86"/>
      <c r="C27" s="87"/>
      <c r="D27" s="88"/>
      <c r="E27" s="88"/>
      <c r="F27" s="88"/>
      <c r="G27" s="89">
        <f t="shared" si="27"/>
        <v>0</v>
      </c>
      <c r="H27" s="87">
        <v>7747</v>
      </c>
      <c r="I27" s="88"/>
      <c r="J27" s="88">
        <v>7747</v>
      </c>
      <c r="K27" s="88"/>
      <c r="L27" s="90">
        <f>G27+H27+I27-J27-K27</f>
        <v>0</v>
      </c>
      <c r="M27" s="91">
        <v>7747</v>
      </c>
      <c r="N27" s="92"/>
      <c r="O27" s="92">
        <v>7747</v>
      </c>
      <c r="P27" s="92"/>
      <c r="Q27" s="89">
        <f t="shared" si="35"/>
        <v>0</v>
      </c>
      <c r="R27" s="93"/>
      <c r="S27" s="87">
        <v>67260</v>
      </c>
      <c r="T27" s="94"/>
      <c r="U27" s="94">
        <v>67260</v>
      </c>
      <c r="V27" s="94"/>
      <c r="W27" s="95">
        <f>Q27+S27+T27-U27-V27</f>
        <v>0</v>
      </c>
      <c r="X27" s="87">
        <v>67260</v>
      </c>
      <c r="Y27" s="94"/>
      <c r="Z27" s="94">
        <v>67260</v>
      </c>
      <c r="AA27" s="94"/>
      <c r="AB27" s="95">
        <f>W27+X27+Y27-Z27-AA27</f>
        <v>0</v>
      </c>
      <c r="AC27" s="87">
        <v>67260</v>
      </c>
      <c r="AD27" s="94"/>
      <c r="AE27" s="94">
        <v>67260</v>
      </c>
      <c r="AF27" s="94"/>
      <c r="AG27" s="86">
        <f t="shared" si="32"/>
        <v>0</v>
      </c>
      <c r="AH27" s="87">
        <v>16138</v>
      </c>
      <c r="AI27" s="88">
        <v>21240</v>
      </c>
      <c r="AJ27" s="88">
        <v>52166</v>
      </c>
      <c r="AK27" s="88"/>
      <c r="AL27" s="89">
        <f t="shared" si="33"/>
        <v>-14788</v>
      </c>
      <c r="AM27" s="87">
        <v>30926</v>
      </c>
      <c r="AN27" s="94"/>
      <c r="AO27" s="94">
        <v>30926</v>
      </c>
      <c r="AP27" s="94"/>
      <c r="AQ27" s="86">
        <f t="shared" si="34"/>
        <v>0</v>
      </c>
      <c r="AR27" s="87">
        <v>30926</v>
      </c>
      <c r="AS27" s="94">
        <f>21240</f>
        <v>21240</v>
      </c>
      <c r="AT27" s="94">
        <v>52166</v>
      </c>
      <c r="AU27" s="94"/>
      <c r="AV27" s="86">
        <f t="shared" si="26"/>
        <v>0</v>
      </c>
      <c r="AW27" s="91">
        <v>16138</v>
      </c>
      <c r="AX27" s="96">
        <f>AY27-AW27</f>
        <v>21300</v>
      </c>
      <c r="AY27" s="96">
        <f>37438</f>
        <v>37438</v>
      </c>
      <c r="AZ27" s="96"/>
      <c r="BA27" s="67">
        <f t="shared" si="15"/>
        <v>0</v>
      </c>
    </row>
    <row r="28" spans="1:62">
      <c r="A28" s="97"/>
      <c r="B28" s="97"/>
      <c r="C28" s="97"/>
      <c r="D28" s="97"/>
      <c r="E28" s="97"/>
      <c r="F28" s="97"/>
      <c r="G28" s="98"/>
      <c r="H28" s="97"/>
      <c r="I28" s="97"/>
      <c r="J28" s="97"/>
      <c r="K28" s="97"/>
      <c r="L28" s="97"/>
      <c r="AG28" s="26">
        <v>126285</v>
      </c>
    </row>
    <row r="29" spans="1:62">
      <c r="A29" s="97"/>
      <c r="B29" s="97"/>
      <c r="C29" s="97"/>
      <c r="D29" s="97"/>
      <c r="E29" s="97"/>
      <c r="F29" s="97"/>
      <c r="G29" s="98"/>
      <c r="H29" s="97"/>
      <c r="I29" s="97"/>
      <c r="J29" s="97">
        <f>G4+H4-J4-K4</f>
        <v>-11912</v>
      </c>
      <c r="K29" s="97"/>
      <c r="L29" s="97"/>
      <c r="AG29" s="26">
        <v>6026</v>
      </c>
      <c r="AS29" s="26">
        <f>AS27+AS14+AS12-AU8</f>
        <v>5222</v>
      </c>
      <c r="AT29" s="26">
        <v>24833</v>
      </c>
    </row>
    <row r="30" spans="1:62">
      <c r="AM30" s="26">
        <f>AG26-AG28</f>
        <v>2029</v>
      </c>
    </row>
    <row r="31" spans="1:62">
      <c r="AR31" s="26">
        <v>5218</v>
      </c>
      <c r="AS31" s="26">
        <f>5000+20566+1855+6224</f>
        <v>33645</v>
      </c>
      <c r="AT31" s="26">
        <f>AS31-AS4</f>
        <v>4993</v>
      </c>
    </row>
    <row r="32" spans="1:62">
      <c r="AH32" s="26" t="s">
        <v>213</v>
      </c>
      <c r="AI32" s="26">
        <f>33369-29355</f>
        <v>4014</v>
      </c>
    </row>
    <row r="33" spans="1:48">
      <c r="A33" s="99" t="s">
        <v>209</v>
      </c>
      <c r="B33" s="80"/>
      <c r="C33" s="80"/>
      <c r="D33" s="80"/>
      <c r="E33" s="80"/>
      <c r="F33" s="80"/>
      <c r="G33" s="80"/>
      <c r="H33" s="80"/>
      <c r="I33" s="80"/>
      <c r="J33" s="80"/>
      <c r="K33" s="80"/>
      <c r="L33" s="80"/>
      <c r="M33" s="80"/>
      <c r="N33" s="80"/>
      <c r="O33" s="80"/>
      <c r="P33" s="80"/>
      <c r="Q33" s="80">
        <f t="shared" ref="Q33:AV33" si="36">SUM(Q34:Q38)</f>
        <v>0</v>
      </c>
      <c r="R33" s="80">
        <f t="shared" si="36"/>
        <v>0</v>
      </c>
      <c r="S33" s="80">
        <f t="shared" si="36"/>
        <v>0</v>
      </c>
      <c r="T33" s="80">
        <f t="shared" si="36"/>
        <v>0</v>
      </c>
      <c r="U33" s="80">
        <f t="shared" si="36"/>
        <v>0</v>
      </c>
      <c r="V33" s="80">
        <f t="shared" si="36"/>
        <v>0</v>
      </c>
      <c r="W33" s="80">
        <f t="shared" si="36"/>
        <v>0</v>
      </c>
      <c r="X33" s="80">
        <f t="shared" si="36"/>
        <v>0</v>
      </c>
      <c r="Y33" s="80">
        <f t="shared" si="36"/>
        <v>0</v>
      </c>
      <c r="Z33" s="80">
        <f t="shared" si="36"/>
        <v>0</v>
      </c>
      <c r="AA33" s="80">
        <f t="shared" si="36"/>
        <v>0</v>
      </c>
      <c r="AB33" s="80">
        <f t="shared" si="36"/>
        <v>0</v>
      </c>
      <c r="AC33" s="80">
        <f t="shared" si="36"/>
        <v>0</v>
      </c>
      <c r="AD33" s="80">
        <f t="shared" si="36"/>
        <v>0</v>
      </c>
      <c r="AE33" s="80">
        <f t="shared" si="36"/>
        <v>0</v>
      </c>
      <c r="AF33" s="80">
        <f t="shared" si="36"/>
        <v>0</v>
      </c>
      <c r="AG33" s="80">
        <f t="shared" si="36"/>
        <v>11927</v>
      </c>
      <c r="AH33" s="80">
        <f t="shared" si="36"/>
        <v>0</v>
      </c>
      <c r="AI33" s="80">
        <f t="shared" si="36"/>
        <v>21240</v>
      </c>
      <c r="AJ33" s="80">
        <f t="shared" si="36"/>
        <v>0</v>
      </c>
      <c r="AK33" s="80">
        <f t="shared" si="36"/>
        <v>0</v>
      </c>
      <c r="AL33" s="80">
        <f t="shared" si="36"/>
        <v>0</v>
      </c>
      <c r="AM33" s="80">
        <f t="shared" si="36"/>
        <v>0</v>
      </c>
      <c r="AN33" s="80">
        <f t="shared" si="36"/>
        <v>0</v>
      </c>
      <c r="AO33" s="80">
        <f t="shared" si="36"/>
        <v>0</v>
      </c>
      <c r="AP33" s="80">
        <f t="shared" si="36"/>
        <v>0</v>
      </c>
      <c r="AQ33" s="80">
        <f t="shared" si="36"/>
        <v>0</v>
      </c>
      <c r="AR33" s="80">
        <f t="shared" si="36"/>
        <v>15582</v>
      </c>
      <c r="AS33" s="80">
        <f t="shared" si="36"/>
        <v>0</v>
      </c>
      <c r="AT33" s="80">
        <f t="shared" si="36"/>
        <v>13709</v>
      </c>
      <c r="AU33" s="80">
        <f t="shared" si="36"/>
        <v>0</v>
      </c>
      <c r="AV33" s="80">
        <f t="shared" si="36"/>
        <v>13800</v>
      </c>
    </row>
    <row r="34" spans="1:48">
      <c r="A34" s="80" t="s">
        <v>224</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v>2580</v>
      </c>
      <c r="AH34" s="80"/>
      <c r="AI34" s="80"/>
      <c r="AJ34" s="80"/>
      <c r="AK34" s="80"/>
      <c r="AL34" s="80"/>
      <c r="AM34" s="80"/>
      <c r="AN34" s="80"/>
      <c r="AO34" s="80"/>
      <c r="AP34" s="80"/>
      <c r="AQ34" s="80"/>
      <c r="AR34" s="80"/>
      <c r="AS34" s="80"/>
      <c r="AT34" s="80">
        <v>2580</v>
      </c>
      <c r="AU34" s="80"/>
      <c r="AV34" s="80">
        <f>AG34+AR34-AT34</f>
        <v>0</v>
      </c>
    </row>
    <row r="35" spans="1:48">
      <c r="A35" s="80" t="s">
        <v>225</v>
      </c>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v>424</v>
      </c>
      <c r="AH35" s="80"/>
      <c r="AI35" s="80"/>
      <c r="AJ35" s="80"/>
      <c r="AK35" s="80"/>
      <c r="AL35" s="80"/>
      <c r="AM35" s="80"/>
      <c r="AN35" s="80"/>
      <c r="AO35" s="80"/>
      <c r="AP35" s="80"/>
      <c r="AQ35" s="80"/>
      <c r="AR35" s="80"/>
      <c r="AS35" s="80"/>
      <c r="AT35" s="80">
        <v>424</v>
      </c>
      <c r="AU35" s="80"/>
      <c r="AV35" s="80">
        <f t="shared" ref="AV34:AV38" si="37">AG35+AR35-AT35</f>
        <v>0</v>
      </c>
    </row>
    <row r="36" spans="1:48">
      <c r="A36" s="80" t="s">
        <v>226</v>
      </c>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v>7800</v>
      </c>
      <c r="AH36" s="80"/>
      <c r="AI36" s="80"/>
      <c r="AJ36" s="80"/>
      <c r="AK36" s="80"/>
      <c r="AL36" s="80"/>
      <c r="AM36" s="80"/>
      <c r="AN36" s="80"/>
      <c r="AO36" s="80"/>
      <c r="AP36" s="80"/>
      <c r="AQ36" s="80"/>
      <c r="AR36" s="80">
        <v>10800</v>
      </c>
      <c r="AS36" s="80"/>
      <c r="AT36" s="80">
        <v>7342</v>
      </c>
      <c r="AU36" s="80"/>
      <c r="AV36" s="80">
        <f t="shared" si="37"/>
        <v>11258</v>
      </c>
    </row>
    <row r="37" spans="1:48">
      <c r="A37" s="80" t="s">
        <v>227</v>
      </c>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v>1123</v>
      </c>
      <c r="AH37" s="80"/>
      <c r="AI37" s="80"/>
      <c r="AJ37" s="80"/>
      <c r="AK37" s="80"/>
      <c r="AL37" s="80"/>
      <c r="AM37" s="80"/>
      <c r="AN37" s="80"/>
      <c r="AO37" s="80"/>
      <c r="AP37" s="80"/>
      <c r="AQ37" s="80"/>
      <c r="AR37" s="80">
        <v>4557</v>
      </c>
      <c r="AS37" s="80"/>
      <c r="AT37" s="80">
        <v>3363</v>
      </c>
      <c r="AU37" s="80"/>
      <c r="AV37" s="80">
        <f t="shared" si="37"/>
        <v>2317</v>
      </c>
    </row>
    <row r="38" spans="1:48">
      <c r="A38" s="80" t="s">
        <v>228</v>
      </c>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t="s">
        <v>214</v>
      </c>
      <c r="AI38" s="80">
        <f>52166-30926</f>
        <v>21240</v>
      </c>
      <c r="AJ38" s="80"/>
      <c r="AK38" s="80"/>
      <c r="AL38" s="80"/>
      <c r="AM38" s="80"/>
      <c r="AN38" s="80"/>
      <c r="AO38" s="80"/>
      <c r="AP38" s="80"/>
      <c r="AQ38" s="80"/>
      <c r="AR38" s="80">
        <v>225</v>
      </c>
      <c r="AS38" s="80"/>
      <c r="AT38" s="80"/>
      <c r="AU38" s="80"/>
      <c r="AV38" s="80">
        <f t="shared" si="37"/>
        <v>225</v>
      </c>
    </row>
    <row r="39" spans="1:48">
      <c r="AA39" s="100" t="s">
        <v>215</v>
      </c>
      <c r="AB39" s="100"/>
      <c r="AC39" s="100"/>
      <c r="AD39" s="100"/>
      <c r="AE39" s="100"/>
      <c r="AF39" s="100" t="s">
        <v>215</v>
      </c>
      <c r="AG39" s="100"/>
      <c r="AH39" s="100"/>
      <c r="AI39" s="26">
        <f>33369+230</f>
        <v>33599</v>
      </c>
    </row>
    <row r="40" spans="1:48">
      <c r="AA40" s="101" t="s">
        <v>201</v>
      </c>
      <c r="AB40" s="101"/>
      <c r="AC40" s="101"/>
      <c r="AD40" s="101"/>
      <c r="AE40" s="101"/>
      <c r="AF40" s="101" t="s">
        <v>201</v>
      </c>
      <c r="AG40" s="101"/>
      <c r="AH40" s="101"/>
      <c r="AI40" s="26">
        <f>29355+230</f>
        <v>29585</v>
      </c>
    </row>
  </sheetData>
  <mergeCells count="13">
    <mergeCell ref="A1:L1"/>
    <mergeCell ref="C2:G2"/>
    <mergeCell ref="H2:L2"/>
    <mergeCell ref="M2:R2"/>
    <mergeCell ref="S2:W2"/>
    <mergeCell ref="X2:AB2"/>
    <mergeCell ref="AC2:AG2"/>
    <mergeCell ref="AH2:AL2"/>
    <mergeCell ref="AM2:AQ2"/>
    <mergeCell ref="AR2:AV2"/>
    <mergeCell ref="AW2:BA2"/>
    <mergeCell ref="AA39:AH39"/>
    <mergeCell ref="AA40:AH40"/>
  </mergeCells>
  <pageMargins left="0.75" right="0.75" top="1" bottom="1" header="0.5" footer="0.5"/>
  <pageSetup paperSize="9" scale="43" fitToHeight="0" orientation="landscape"/>
  <headerFooter/>
  <ignoredErrors>
    <ignoredError sqref="AR5" formulaRange="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4:J22"/>
  <sheetViews>
    <sheetView workbookViewId="0">
      <selection activeCell="L38" sqref="J22 L38:L39"/>
    </sheetView>
  </sheetViews>
  <sheetFormatPr defaultColWidth="9" defaultRowHeight="14.25"/>
  <cols>
    <col min="1" max="1" width="11" style="2" customWidth="1"/>
    <col min="2" max="2" width="15" style="2" customWidth="1"/>
    <col min="3" max="4" width="11" style="2" customWidth="1"/>
    <col min="5" max="7" width="9" style="2"/>
    <col min="8" max="8" width="11" style="2" customWidth="1"/>
    <col min="9" max="16384" width="9" style="2"/>
  </cols>
  <sheetData>
    <row r="4" spans="1:10">
      <c r="A4" s="1" t="s">
        <v>229</v>
      </c>
      <c r="B4" s="1"/>
      <c r="C4" s="1"/>
      <c r="D4" s="1"/>
      <c r="E4" s="1"/>
      <c r="F4" s="1"/>
      <c r="G4" s="1"/>
      <c r="H4" s="1"/>
    </row>
    <row r="5" spans="1:10">
      <c r="H5" s="2" t="s">
        <v>2</v>
      </c>
    </row>
    <row r="6" ht="28.5" spans="1:10">
      <c r="A6" s="8" t="s">
        <v>230</v>
      </c>
      <c r="B6" s="8" t="s">
        <v>231</v>
      </c>
      <c r="C6" s="8" t="s">
        <v>232</v>
      </c>
      <c r="D6" s="8" t="s">
        <v>233</v>
      </c>
      <c r="E6" s="8" t="s">
        <v>234</v>
      </c>
      <c r="F6" s="8" t="s">
        <v>235</v>
      </c>
      <c r="G6" s="24" t="s">
        <v>236</v>
      </c>
      <c r="H6" s="8" t="s">
        <v>124</v>
      </c>
    </row>
    <row r="7" spans="1:10">
      <c r="A7" s="4" t="s">
        <v>237</v>
      </c>
      <c r="B7" s="8" t="s">
        <v>238</v>
      </c>
      <c r="C7" s="8" t="s">
        <v>239</v>
      </c>
      <c r="D7" s="8" t="s">
        <v>240</v>
      </c>
      <c r="E7" s="8">
        <v>2500</v>
      </c>
      <c r="F7" s="8"/>
      <c r="G7" s="8"/>
      <c r="H7" s="8" t="s">
        <v>241</v>
      </c>
    </row>
    <row r="8" spans="1:10">
      <c r="A8" s="4"/>
      <c r="B8" s="8" t="s">
        <v>238</v>
      </c>
      <c r="C8" s="8" t="s">
        <v>242</v>
      </c>
      <c r="D8" s="8" t="s">
        <v>240</v>
      </c>
      <c r="E8" s="8">
        <v>15498</v>
      </c>
      <c r="F8" s="8"/>
      <c r="G8" s="8"/>
      <c r="H8" s="8"/>
    </row>
    <row r="9" spans="1:10">
      <c r="A9" s="4"/>
      <c r="B9" s="8" t="s">
        <v>238</v>
      </c>
      <c r="C9" s="8" t="s">
        <v>242</v>
      </c>
      <c r="D9" s="8" t="s">
        <v>240</v>
      </c>
      <c r="E9" s="8">
        <v>11451</v>
      </c>
      <c r="F9" s="8"/>
      <c r="G9" s="8"/>
      <c r="H9" s="8"/>
    </row>
    <row r="10" spans="1:10">
      <c r="A10" s="4"/>
      <c r="B10" s="8" t="s">
        <v>238</v>
      </c>
      <c r="C10" s="8" t="s">
        <v>242</v>
      </c>
      <c r="D10" s="8" t="s">
        <v>240</v>
      </c>
      <c r="E10" s="8">
        <v>8646</v>
      </c>
      <c r="F10" s="8"/>
      <c r="G10" s="8"/>
      <c r="H10" s="8"/>
    </row>
    <row r="11" spans="1:10">
      <c r="A11" s="4"/>
      <c r="B11" s="8" t="s">
        <v>238</v>
      </c>
      <c r="C11" s="8" t="s">
        <v>242</v>
      </c>
      <c r="D11" s="8" t="s">
        <v>240</v>
      </c>
      <c r="E11" s="8">
        <v>1248</v>
      </c>
      <c r="F11" s="8"/>
      <c r="G11" s="8"/>
      <c r="H11" s="8"/>
    </row>
    <row r="12" spans="1:10">
      <c r="A12" s="4"/>
      <c r="B12" s="8" t="s">
        <v>243</v>
      </c>
      <c r="C12" s="8" t="s">
        <v>239</v>
      </c>
      <c r="D12" s="8" t="s">
        <v>240</v>
      </c>
      <c r="E12" s="8">
        <v>6330</v>
      </c>
      <c r="F12" s="8"/>
      <c r="G12" s="8"/>
      <c r="H12" s="8" t="s">
        <v>241</v>
      </c>
    </row>
    <row r="13" spans="1:10">
      <c r="A13" s="4"/>
      <c r="B13" s="8" t="s">
        <v>243</v>
      </c>
      <c r="C13" s="8" t="s">
        <v>242</v>
      </c>
      <c r="D13" s="8" t="s">
        <v>240</v>
      </c>
      <c r="E13" s="8">
        <v>8268</v>
      </c>
      <c r="F13" s="8"/>
      <c r="G13" s="8"/>
      <c r="H13" s="8"/>
    </row>
    <row r="14" spans="1:10">
      <c r="A14" s="4"/>
      <c r="B14" s="8" t="s">
        <v>243</v>
      </c>
      <c r="C14" s="8" t="s">
        <v>239</v>
      </c>
      <c r="D14" s="8" t="s">
        <v>244</v>
      </c>
      <c r="E14" s="8">
        <v>8000</v>
      </c>
      <c r="F14" s="8"/>
      <c r="G14" s="8"/>
      <c r="H14" s="8" t="s">
        <v>245</v>
      </c>
      <c r="J14" s="2">
        <v>1583</v>
      </c>
    </row>
    <row r="15" spans="1:10">
      <c r="A15" s="4"/>
      <c r="B15" s="8" t="s">
        <v>246</v>
      </c>
      <c r="C15" s="8" t="s">
        <v>242</v>
      </c>
      <c r="D15" s="8" t="s">
        <v>244</v>
      </c>
      <c r="E15" s="8">
        <v>10300</v>
      </c>
      <c r="F15" s="8"/>
      <c r="G15" s="8"/>
      <c r="H15" s="8"/>
    </row>
    <row r="16" spans="1:10">
      <c r="A16" s="4"/>
      <c r="B16" s="8" t="s">
        <v>246</v>
      </c>
      <c r="C16" s="8" t="s">
        <v>239</v>
      </c>
      <c r="D16" s="8" t="s">
        <v>244</v>
      </c>
      <c r="E16" s="8">
        <v>14291</v>
      </c>
      <c r="F16" s="8"/>
      <c r="G16" s="8"/>
      <c r="H16" s="8" t="s">
        <v>245</v>
      </c>
    </row>
    <row r="17" spans="1:8">
      <c r="A17" s="4"/>
      <c r="B17" s="8"/>
      <c r="C17" s="8" t="s">
        <v>242</v>
      </c>
      <c r="D17" s="8"/>
      <c r="E17" s="8"/>
      <c r="F17" s="25">
        <v>16278</v>
      </c>
      <c r="G17" s="25">
        <v>3.58</v>
      </c>
      <c r="H17" s="8"/>
    </row>
    <row r="18" spans="1:8">
      <c r="A18" s="4"/>
      <c r="B18" s="8"/>
      <c r="C18" s="8" t="s">
        <v>239</v>
      </c>
      <c r="D18" s="8"/>
      <c r="E18" s="8"/>
      <c r="F18" s="25">
        <v>17780</v>
      </c>
      <c r="G18" s="25">
        <v>2.43</v>
      </c>
      <c r="H18" s="8"/>
    </row>
    <row r="19" spans="1:8">
      <c r="A19" s="4" t="s">
        <v>247</v>
      </c>
      <c r="B19" s="8" t="s">
        <v>248</v>
      </c>
      <c r="C19" s="8" t="s">
        <v>242</v>
      </c>
      <c r="D19" s="8" t="s">
        <v>244</v>
      </c>
      <c r="E19" s="8"/>
      <c r="F19" s="8">
        <v>470</v>
      </c>
      <c r="G19" s="8"/>
      <c r="H19" s="8"/>
    </row>
    <row r="20" spans="1:8">
      <c r="A20" s="4"/>
      <c r="B20" s="8" t="s">
        <v>249</v>
      </c>
      <c r="C20" s="8" t="s">
        <v>242</v>
      </c>
      <c r="D20" s="8" t="s">
        <v>244</v>
      </c>
      <c r="E20" s="8">
        <v>130</v>
      </c>
      <c r="F20" s="8">
        <v>20</v>
      </c>
      <c r="G20" s="8">
        <v>4</v>
      </c>
      <c r="H20" s="8"/>
    </row>
    <row r="21" spans="1:8">
      <c r="A21" s="4"/>
      <c r="B21" s="8" t="s">
        <v>250</v>
      </c>
      <c r="C21" s="8" t="s">
        <v>242</v>
      </c>
      <c r="D21" s="8" t="s">
        <v>244</v>
      </c>
      <c r="E21" s="8">
        <v>29</v>
      </c>
      <c r="F21" s="8"/>
      <c r="G21" s="8"/>
      <c r="H21" s="8"/>
    </row>
    <row r="22" spans="1:8">
      <c r="A22" s="4"/>
      <c r="B22" s="8" t="s">
        <v>251</v>
      </c>
      <c r="C22" s="8" t="s">
        <v>242</v>
      </c>
      <c r="D22" s="8" t="s">
        <v>244</v>
      </c>
      <c r="E22" s="8"/>
      <c r="F22" s="8"/>
      <c r="G22" s="8">
        <v>90</v>
      </c>
      <c r="H22" s="8"/>
    </row>
  </sheetData>
  <mergeCells count="3">
    <mergeCell ref="A4:H4"/>
    <mergeCell ref="A7:A18"/>
    <mergeCell ref="A19:A22"/>
  </mergeCells>
  <pageMargins left="0.7" right="0.7" top="0.75" bottom="0.75" header="0.3" footer="0.3"/>
  <pageSetup paperSize="9" scale="9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V18"/>
  <sheetViews>
    <sheetView workbookViewId="0">
      <selection activeCell="P7" sqref="P7"/>
    </sheetView>
  </sheetViews>
  <sheetFormatPr defaultColWidth="9" defaultRowHeight="14.25"/>
  <cols>
    <col min="1" max="1" width="23.5" style="2" customWidth="1"/>
    <col min="2" max="2" width="11.25" style="2" customWidth="1"/>
    <col min="3" max="6" width="7.625" style="2" customWidth="1"/>
    <col min="7" max="7" width="7.625" style="3" customWidth="1"/>
    <col min="8" max="12" width="7.625" style="2" hidden="1" customWidth="1"/>
    <col min="13" max="16384" width="9" style="2"/>
  </cols>
  <sheetData>
    <row r="1" s="1" customFormat="1" spans="1:22">
      <c r="A1" s="4"/>
      <c r="B1" s="4" t="s">
        <v>252</v>
      </c>
      <c r="C1" s="4" t="s">
        <v>253</v>
      </c>
      <c r="D1" s="4"/>
      <c r="E1" s="4"/>
      <c r="F1" s="4"/>
      <c r="G1" s="4"/>
      <c r="H1" s="4" t="s">
        <v>254</v>
      </c>
      <c r="I1" s="4"/>
      <c r="J1" s="4"/>
      <c r="K1" s="4"/>
      <c r="L1" s="4"/>
      <c r="M1" s="4" t="s">
        <v>255</v>
      </c>
      <c r="N1" s="4"/>
      <c r="O1" s="4"/>
      <c r="P1" s="4"/>
      <c r="Q1" s="4"/>
      <c r="R1" s="4" t="s">
        <v>256</v>
      </c>
      <c r="S1" s="4"/>
      <c r="T1" s="4"/>
      <c r="U1" s="4"/>
      <c r="V1" s="4"/>
    </row>
    <row r="2" s="1" customFormat="1" spans="1:22">
      <c r="A2" s="4"/>
      <c r="B2" s="4" t="s">
        <v>188</v>
      </c>
      <c r="C2" s="4" t="s">
        <v>189</v>
      </c>
      <c r="D2" s="4" t="s">
        <v>190</v>
      </c>
      <c r="E2" s="4" t="s">
        <v>191</v>
      </c>
      <c r="F2" s="4" t="s">
        <v>192</v>
      </c>
      <c r="G2" s="6" t="s">
        <v>188</v>
      </c>
      <c r="H2" s="4" t="s">
        <v>189</v>
      </c>
      <c r="I2" s="4" t="s">
        <v>190</v>
      </c>
      <c r="J2" s="4" t="s">
        <v>191</v>
      </c>
      <c r="K2" s="4" t="s">
        <v>192</v>
      </c>
      <c r="L2" s="4" t="s">
        <v>188</v>
      </c>
      <c r="M2" s="4" t="s">
        <v>189</v>
      </c>
      <c r="N2" s="4" t="s">
        <v>190</v>
      </c>
      <c r="O2" s="4" t="s">
        <v>191</v>
      </c>
      <c r="P2" s="4" t="s">
        <v>192</v>
      </c>
      <c r="Q2" s="4" t="s">
        <v>188</v>
      </c>
      <c r="R2" s="4" t="s">
        <v>189</v>
      </c>
      <c r="S2" s="4" t="s">
        <v>190</v>
      </c>
      <c r="T2" s="4" t="s">
        <v>191</v>
      </c>
      <c r="U2" s="4" t="s">
        <v>192</v>
      </c>
      <c r="V2" s="4" t="s">
        <v>188</v>
      </c>
    </row>
    <row r="3" ht="16.5" spans="1:22">
      <c r="A3" s="8" t="s">
        <v>193</v>
      </c>
      <c r="B3" s="9">
        <f t="shared" ref="B3:Q3" si="0">B4+B8+B9+B11+B10+B17</f>
        <v>4391</v>
      </c>
      <c r="C3" s="9">
        <f t="shared" si="0"/>
        <v>628437</v>
      </c>
      <c r="D3" s="9">
        <f t="shared" si="0"/>
        <v>18833</v>
      </c>
      <c r="E3" s="9">
        <f t="shared" si="0"/>
        <v>448001</v>
      </c>
      <c r="F3" s="10">
        <f t="shared" si="0"/>
        <v>181863</v>
      </c>
      <c r="G3" s="11">
        <f t="shared" si="0"/>
        <v>21797</v>
      </c>
      <c r="H3" s="9">
        <f t="shared" si="0"/>
        <v>580369</v>
      </c>
      <c r="I3" s="9">
        <f t="shared" si="0"/>
        <v>0</v>
      </c>
      <c r="J3" s="9">
        <f t="shared" si="0"/>
        <v>428539</v>
      </c>
      <c r="K3" s="9">
        <f t="shared" si="0"/>
        <v>153089</v>
      </c>
      <c r="L3" s="9">
        <f t="shared" si="0"/>
        <v>20538</v>
      </c>
      <c r="M3" s="9">
        <f t="shared" si="0"/>
        <v>1029337</v>
      </c>
      <c r="N3" s="9">
        <f t="shared" si="0"/>
        <v>36285</v>
      </c>
      <c r="O3" s="9">
        <f t="shared" si="0"/>
        <v>907272</v>
      </c>
      <c r="P3" s="9">
        <f t="shared" si="0"/>
        <v>170308</v>
      </c>
      <c r="Q3" s="9">
        <f t="shared" si="0"/>
        <v>9839</v>
      </c>
      <c r="R3" s="8"/>
      <c r="S3" s="8"/>
      <c r="T3" s="8"/>
      <c r="U3" s="8"/>
      <c r="V3" s="8"/>
    </row>
    <row r="4" ht="16.5" spans="1:22">
      <c r="A4" s="8" t="s">
        <v>194</v>
      </c>
      <c r="B4" s="9">
        <f>SUM(B5:B7)</f>
        <v>623</v>
      </c>
      <c r="C4" s="9">
        <f>SUM(C5:C7)</f>
        <v>541233</v>
      </c>
      <c r="D4" s="9"/>
      <c r="E4" s="9">
        <f t="shared" ref="E4:Q4" si="1">SUM(E5:E7)</f>
        <v>365088</v>
      </c>
      <c r="F4" s="9">
        <f t="shared" si="1"/>
        <v>169768</v>
      </c>
      <c r="G4" s="11">
        <f t="shared" si="1"/>
        <v>7000</v>
      </c>
      <c r="H4" s="9">
        <f t="shared" si="1"/>
        <v>563400</v>
      </c>
      <c r="I4" s="9">
        <f t="shared" si="1"/>
        <v>0</v>
      </c>
      <c r="J4" s="9">
        <f t="shared" si="1"/>
        <v>351084</v>
      </c>
      <c r="K4" s="9">
        <f t="shared" si="1"/>
        <v>153089</v>
      </c>
      <c r="L4" s="9">
        <f t="shared" si="1"/>
        <v>66227</v>
      </c>
      <c r="M4" s="9">
        <f t="shared" si="1"/>
        <v>790266</v>
      </c>
      <c r="N4" s="9">
        <f t="shared" si="1"/>
        <v>0</v>
      </c>
      <c r="O4" s="9">
        <f t="shared" si="1"/>
        <v>619958</v>
      </c>
      <c r="P4" s="9">
        <f t="shared" si="1"/>
        <v>170308</v>
      </c>
      <c r="Q4" s="9">
        <f t="shared" si="1"/>
        <v>7000</v>
      </c>
      <c r="R4" s="8"/>
      <c r="S4" s="8"/>
      <c r="T4" s="8"/>
      <c r="U4" s="8"/>
      <c r="V4" s="8"/>
    </row>
    <row r="5" ht="16.5" spans="1:22">
      <c r="A5" s="16" t="s">
        <v>195</v>
      </c>
      <c r="B5" s="9"/>
      <c r="C5" s="9">
        <v>0</v>
      </c>
      <c r="D5" s="9"/>
      <c r="E5" s="9">
        <v>0</v>
      </c>
      <c r="F5" s="9"/>
      <c r="G5" s="11">
        <f t="shared" ref="G5:G10" si="2">B5+D5+(C5-E5-F5)</f>
        <v>0</v>
      </c>
      <c r="H5" s="9">
        <v>8000</v>
      </c>
      <c r="I5" s="9"/>
      <c r="J5" s="9">
        <v>0</v>
      </c>
      <c r="K5" s="9">
        <v>8000</v>
      </c>
      <c r="L5" s="9">
        <f t="shared" ref="L5:L10" si="3">G5+H5+I5-J5-K5</f>
        <v>0</v>
      </c>
      <c r="M5" s="8"/>
      <c r="N5" s="8"/>
      <c r="O5" s="8"/>
      <c r="P5" s="8"/>
      <c r="Q5" s="23">
        <f t="shared" ref="Q5:Q10" si="4">G5+M5+N5-O5-P5</f>
        <v>0</v>
      </c>
      <c r="R5" s="8"/>
      <c r="S5" s="8"/>
      <c r="T5" s="8"/>
      <c r="U5" s="8"/>
      <c r="V5" s="8"/>
    </row>
    <row r="6" ht="16.5" spans="1:22">
      <c r="A6" s="16" t="s">
        <v>196</v>
      </c>
      <c r="B6" s="9"/>
      <c r="C6" s="9">
        <v>2785</v>
      </c>
      <c r="D6" s="9"/>
      <c r="E6" s="9">
        <v>0</v>
      </c>
      <c r="F6" s="18">
        <v>2785</v>
      </c>
      <c r="G6" s="11">
        <f t="shared" si="2"/>
        <v>0</v>
      </c>
      <c r="H6" s="9">
        <v>2000</v>
      </c>
      <c r="I6" s="9"/>
      <c r="J6" s="9">
        <v>0</v>
      </c>
      <c r="K6" s="9">
        <v>2000</v>
      </c>
      <c r="L6" s="9">
        <f t="shared" si="3"/>
        <v>0</v>
      </c>
      <c r="M6" s="8"/>
      <c r="N6" s="8"/>
      <c r="O6" s="8"/>
      <c r="P6" s="8"/>
      <c r="Q6" s="23">
        <f t="shared" si="4"/>
        <v>0</v>
      </c>
      <c r="R6" s="8"/>
      <c r="S6" s="8"/>
      <c r="T6" s="8"/>
      <c r="U6" s="8"/>
      <c r="V6" s="8"/>
    </row>
    <row r="7" ht="16.5" spans="1:22">
      <c r="A7" s="16" t="s">
        <v>197</v>
      </c>
      <c r="B7" s="9">
        <v>623</v>
      </c>
      <c r="C7" s="9">
        <v>538448</v>
      </c>
      <c r="D7" s="9"/>
      <c r="E7" s="9">
        <v>365088</v>
      </c>
      <c r="F7" s="18">
        <v>166983</v>
      </c>
      <c r="G7" s="11">
        <f t="shared" si="2"/>
        <v>7000</v>
      </c>
      <c r="H7" s="9">
        <v>553400</v>
      </c>
      <c r="I7" s="9"/>
      <c r="J7" s="9">
        <v>351084</v>
      </c>
      <c r="K7" s="9">
        <v>143089</v>
      </c>
      <c r="L7" s="9">
        <f t="shared" si="3"/>
        <v>66227</v>
      </c>
      <c r="M7" s="8">
        <v>790266</v>
      </c>
      <c r="N7" s="8"/>
      <c r="O7" s="8">
        <v>619958</v>
      </c>
      <c r="P7" s="8">
        <f>M7-O7</f>
        <v>170308</v>
      </c>
      <c r="Q7" s="23">
        <f t="shared" si="4"/>
        <v>7000</v>
      </c>
      <c r="R7" s="8"/>
      <c r="S7" s="8"/>
      <c r="T7" s="8"/>
      <c r="U7" s="8"/>
      <c r="V7" s="8"/>
    </row>
    <row r="8" ht="16.5" spans="1:22">
      <c r="A8" s="8" t="s">
        <v>199</v>
      </c>
      <c r="B8" s="9">
        <v>800</v>
      </c>
      <c r="C8" s="9">
        <v>11333</v>
      </c>
      <c r="D8" s="9"/>
      <c r="E8" s="9">
        <v>1510</v>
      </c>
      <c r="F8" s="18">
        <v>8623</v>
      </c>
      <c r="G8" s="11">
        <f t="shared" si="2"/>
        <v>2000</v>
      </c>
      <c r="H8" s="9">
        <v>8000</v>
      </c>
      <c r="I8" s="9"/>
      <c r="J8" s="9">
        <v>5604</v>
      </c>
      <c r="K8" s="9"/>
      <c r="L8" s="9">
        <f t="shared" si="3"/>
        <v>4396</v>
      </c>
      <c r="M8" s="8">
        <v>4000</v>
      </c>
      <c r="N8" s="8"/>
      <c r="O8" s="8">
        <v>3230</v>
      </c>
      <c r="P8" s="8"/>
      <c r="Q8" s="23">
        <f t="shared" si="4"/>
        <v>2770</v>
      </c>
      <c r="R8" s="8"/>
      <c r="S8" s="8"/>
      <c r="T8" s="8"/>
      <c r="U8" s="8"/>
      <c r="V8" s="8"/>
    </row>
    <row r="9" ht="16.5" spans="1:22">
      <c r="A9" s="8" t="s">
        <v>200</v>
      </c>
      <c r="B9" s="9"/>
      <c r="C9" s="9">
        <v>6900</v>
      </c>
      <c r="D9" s="9"/>
      <c r="E9" s="9">
        <v>3477</v>
      </c>
      <c r="F9" s="9">
        <v>3423</v>
      </c>
      <c r="G9" s="11">
        <f t="shared" si="2"/>
        <v>0</v>
      </c>
      <c r="H9" s="9">
        <v>4632</v>
      </c>
      <c r="I9" s="9"/>
      <c r="J9" s="9">
        <v>4632</v>
      </c>
      <c r="K9" s="9"/>
      <c r="L9" s="9">
        <f t="shared" si="3"/>
        <v>0</v>
      </c>
      <c r="M9" s="8">
        <v>4632</v>
      </c>
      <c r="N9" s="8"/>
      <c r="O9" s="8">
        <v>4632</v>
      </c>
      <c r="P9" s="8"/>
      <c r="Q9" s="23">
        <f t="shared" si="4"/>
        <v>0</v>
      </c>
      <c r="R9" s="8"/>
      <c r="S9" s="8"/>
      <c r="T9" s="8"/>
      <c r="U9" s="8"/>
      <c r="V9" s="8"/>
    </row>
    <row r="10" ht="16.5" spans="1:22">
      <c r="A10" s="19" t="s">
        <v>201</v>
      </c>
      <c r="B10" s="9"/>
      <c r="C10" s="9">
        <v>2026</v>
      </c>
      <c r="D10" s="9">
        <v>18833</v>
      </c>
      <c r="E10" s="9">
        <f>10405+64+10390</f>
        <v>20859</v>
      </c>
      <c r="F10" s="9"/>
      <c r="G10" s="11">
        <f t="shared" si="2"/>
        <v>0</v>
      </c>
      <c r="H10" s="9">
        <v>4337</v>
      </c>
      <c r="I10" s="9"/>
      <c r="J10" s="9">
        <f>12161+100</f>
        <v>12261</v>
      </c>
      <c r="K10" s="9"/>
      <c r="L10" s="9">
        <f t="shared" si="3"/>
        <v>-7924</v>
      </c>
      <c r="M10" s="8">
        <f>7315+219</f>
        <v>7534</v>
      </c>
      <c r="N10" s="8">
        <v>8346</v>
      </c>
      <c r="O10" s="8">
        <v>15880</v>
      </c>
      <c r="P10" s="8"/>
      <c r="Q10" s="23">
        <f t="shared" si="4"/>
        <v>0</v>
      </c>
      <c r="R10" s="8">
        <f>11710+5</f>
        <v>11715</v>
      </c>
      <c r="S10" s="8"/>
      <c r="T10" s="8">
        <v>17782</v>
      </c>
      <c r="U10" s="8"/>
      <c r="V10" s="8"/>
    </row>
    <row r="11" ht="16.5" spans="1:22">
      <c r="A11" s="8" t="s">
        <v>202</v>
      </c>
      <c r="B11" s="9">
        <f>SUM(B12:B16)</f>
        <v>2968</v>
      </c>
      <c r="C11" s="20">
        <f>SUM(C12:C16)</f>
        <v>3745</v>
      </c>
      <c r="D11" s="18"/>
      <c r="E11" s="9">
        <f t="shared" ref="E11:Q11" si="5">SUM(E12:E16)</f>
        <v>3867</v>
      </c>
      <c r="F11" s="9">
        <f t="shared" si="5"/>
        <v>49</v>
      </c>
      <c r="G11" s="11">
        <f t="shared" si="5"/>
        <v>2797</v>
      </c>
      <c r="H11" s="9">
        <f t="shared" si="5"/>
        <v>0</v>
      </c>
      <c r="I11" s="9">
        <f t="shared" si="5"/>
        <v>0</v>
      </c>
      <c r="J11" s="9">
        <f t="shared" si="5"/>
        <v>2728</v>
      </c>
      <c r="K11" s="9">
        <f t="shared" si="5"/>
        <v>0</v>
      </c>
      <c r="L11" s="9">
        <f t="shared" si="5"/>
        <v>69</v>
      </c>
      <c r="M11" s="9">
        <f t="shared" si="5"/>
        <v>2805</v>
      </c>
      <c r="N11" s="9">
        <f t="shared" si="5"/>
        <v>0</v>
      </c>
      <c r="O11" s="9">
        <f t="shared" si="5"/>
        <v>5533</v>
      </c>
      <c r="P11" s="9">
        <f t="shared" si="5"/>
        <v>0</v>
      </c>
      <c r="Q11" s="9">
        <f t="shared" si="5"/>
        <v>69</v>
      </c>
      <c r="R11" s="8"/>
      <c r="S11" s="8"/>
      <c r="T11" s="8"/>
      <c r="U11" s="8"/>
      <c r="V11" s="8"/>
    </row>
    <row r="12" ht="16.5" spans="1:22">
      <c r="A12" s="16" t="s">
        <v>204</v>
      </c>
      <c r="B12" s="9">
        <v>11</v>
      </c>
      <c r="C12" s="9">
        <f>11+7</f>
        <v>18</v>
      </c>
      <c r="D12" s="9"/>
      <c r="E12" s="9">
        <v>18</v>
      </c>
      <c r="F12" s="9"/>
      <c r="G12" s="11">
        <f t="shared" ref="G12:G18" si="6">B12+D12+(C12-E12-F12)</f>
        <v>11</v>
      </c>
      <c r="H12" s="9"/>
      <c r="I12" s="9"/>
      <c r="J12" s="9">
        <v>11</v>
      </c>
      <c r="K12" s="9"/>
      <c r="L12" s="9">
        <f t="shared" ref="L12:L18" si="7">G12+H12+I12-J12-K12</f>
        <v>0</v>
      </c>
      <c r="M12" s="8">
        <v>33</v>
      </c>
      <c r="N12" s="8"/>
      <c r="O12" s="8">
        <v>44</v>
      </c>
      <c r="P12" s="8"/>
      <c r="Q12" s="23">
        <f t="shared" ref="Q12:Q18" si="8">G12+M12+N12-O12-P12</f>
        <v>0</v>
      </c>
      <c r="R12" s="8"/>
      <c r="S12" s="8"/>
      <c r="T12" s="8"/>
      <c r="U12" s="8"/>
      <c r="V12" s="8"/>
    </row>
    <row r="13" ht="16.5" spans="1:22">
      <c r="A13" s="16" t="s">
        <v>205</v>
      </c>
      <c r="B13" s="9">
        <v>99</v>
      </c>
      <c r="C13" s="9"/>
      <c r="D13" s="9"/>
      <c r="E13" s="9">
        <v>99</v>
      </c>
      <c r="F13" s="9"/>
      <c r="G13" s="11">
        <f t="shared" si="6"/>
        <v>0</v>
      </c>
      <c r="H13" s="9"/>
      <c r="I13" s="9"/>
      <c r="J13" s="9"/>
      <c r="K13" s="9"/>
      <c r="L13" s="9">
        <f t="shared" si="7"/>
        <v>0</v>
      </c>
      <c r="M13" s="8"/>
      <c r="N13" s="8"/>
      <c r="O13" s="8"/>
      <c r="P13" s="8"/>
      <c r="Q13" s="23">
        <f t="shared" si="8"/>
        <v>0</v>
      </c>
      <c r="R13" s="8"/>
      <c r="S13" s="8"/>
      <c r="T13" s="8"/>
      <c r="U13" s="8"/>
      <c r="V13" s="8"/>
    </row>
    <row r="14" ht="16.5" spans="1:22">
      <c r="A14" s="16" t="s">
        <v>206</v>
      </c>
      <c r="B14" s="9">
        <v>181</v>
      </c>
      <c r="C14" s="9">
        <f>469+626</f>
        <v>1095</v>
      </c>
      <c r="D14" s="9"/>
      <c r="E14" s="9">
        <v>581</v>
      </c>
      <c r="F14" s="9">
        <v>49</v>
      </c>
      <c r="G14" s="11">
        <f t="shared" si="6"/>
        <v>646</v>
      </c>
      <c r="H14" s="9"/>
      <c r="I14" s="9"/>
      <c r="J14" s="9">
        <v>622</v>
      </c>
      <c r="K14" s="9"/>
      <c r="L14" s="9">
        <f t="shared" si="7"/>
        <v>24</v>
      </c>
      <c r="M14" s="8">
        <v>837</v>
      </c>
      <c r="N14" s="8"/>
      <c r="O14" s="8">
        <v>1459</v>
      </c>
      <c r="P14" s="8"/>
      <c r="Q14" s="23">
        <f t="shared" si="8"/>
        <v>24</v>
      </c>
      <c r="R14" s="8"/>
      <c r="S14" s="8"/>
      <c r="T14" s="8"/>
      <c r="U14" s="8"/>
      <c r="V14" s="8"/>
    </row>
    <row r="15" ht="16.5" spans="1:22">
      <c r="A15" s="16" t="s">
        <v>207</v>
      </c>
      <c r="B15" s="9">
        <v>219</v>
      </c>
      <c r="C15" s="9">
        <v>1200</v>
      </c>
      <c r="D15" s="9"/>
      <c r="E15" s="9">
        <v>886</v>
      </c>
      <c r="F15" s="9"/>
      <c r="G15" s="11">
        <f t="shared" si="6"/>
        <v>533</v>
      </c>
      <c r="H15" s="9"/>
      <c r="I15" s="9"/>
      <c r="J15" s="9">
        <v>514</v>
      </c>
      <c r="K15" s="9"/>
      <c r="L15" s="9">
        <f t="shared" si="7"/>
        <v>19</v>
      </c>
      <c r="M15" s="8"/>
      <c r="N15" s="8"/>
      <c r="O15" s="8">
        <v>514</v>
      </c>
      <c r="P15" s="8"/>
      <c r="Q15" s="23">
        <f t="shared" si="8"/>
        <v>19</v>
      </c>
      <c r="R15" s="8"/>
      <c r="S15" s="8"/>
      <c r="T15" s="8"/>
      <c r="U15" s="8"/>
      <c r="V15" s="8"/>
    </row>
    <row r="16" ht="16.5" spans="1:22">
      <c r="A16" s="16" t="s">
        <v>208</v>
      </c>
      <c r="B16" s="9">
        <v>2458</v>
      </c>
      <c r="C16" s="9">
        <f>870+409-102+178+77</f>
        <v>1432</v>
      </c>
      <c r="D16" s="9"/>
      <c r="E16" s="9">
        <v>2283</v>
      </c>
      <c r="F16" s="9"/>
      <c r="G16" s="11">
        <f t="shared" si="6"/>
        <v>1607</v>
      </c>
      <c r="H16" s="9"/>
      <c r="I16" s="9"/>
      <c r="J16" s="9">
        <v>1581</v>
      </c>
      <c r="K16" s="9"/>
      <c r="L16" s="9">
        <f t="shared" si="7"/>
        <v>26</v>
      </c>
      <c r="M16" s="8">
        <v>1935</v>
      </c>
      <c r="N16" s="8"/>
      <c r="O16" s="8">
        <v>3516</v>
      </c>
      <c r="P16" s="8"/>
      <c r="Q16" s="23">
        <f t="shared" si="8"/>
        <v>26</v>
      </c>
      <c r="R16" s="8"/>
      <c r="S16" s="8"/>
      <c r="T16" s="8"/>
      <c r="U16" s="8"/>
      <c r="V16" s="8"/>
    </row>
    <row r="17" ht="15.75" customHeight="1" spans="1:22">
      <c r="A17" s="19" t="s">
        <v>211</v>
      </c>
      <c r="B17" s="9"/>
      <c r="C17" s="9">
        <v>63200</v>
      </c>
      <c r="D17" s="9"/>
      <c r="E17" s="9">
        <v>53200</v>
      </c>
      <c r="F17" s="9"/>
      <c r="G17" s="11">
        <f t="shared" si="6"/>
        <v>10000</v>
      </c>
      <c r="H17" s="9"/>
      <c r="I17" s="9"/>
      <c r="J17" s="9">
        <f>42230+10000</f>
        <v>52230</v>
      </c>
      <c r="K17" s="9"/>
      <c r="L17" s="9">
        <f t="shared" si="7"/>
        <v>-42230</v>
      </c>
      <c r="M17" s="9">
        <f>210100+10000</f>
        <v>220100</v>
      </c>
      <c r="N17" s="8">
        <v>27939</v>
      </c>
      <c r="O17" s="8">
        <f>10000+220100+27939</f>
        <v>258039</v>
      </c>
      <c r="P17" s="8"/>
      <c r="Q17" s="23">
        <f t="shared" si="8"/>
        <v>0</v>
      </c>
      <c r="R17" s="8"/>
      <c r="S17" s="8"/>
      <c r="T17" s="8"/>
      <c r="U17" s="8"/>
      <c r="V17" s="8"/>
    </row>
    <row r="18" ht="16.5" spans="1:22">
      <c r="A18" s="19" t="s">
        <v>212</v>
      </c>
      <c r="B18" s="9"/>
      <c r="C18" s="9"/>
      <c r="D18" s="9"/>
      <c r="E18" s="9"/>
      <c r="F18" s="9"/>
      <c r="G18" s="11">
        <f t="shared" si="6"/>
        <v>0</v>
      </c>
      <c r="H18" s="9">
        <v>32375</v>
      </c>
      <c r="I18" s="9"/>
      <c r="J18" s="9">
        <f>32375</f>
        <v>32375</v>
      </c>
      <c r="K18" s="9"/>
      <c r="L18" s="9">
        <f t="shared" si="7"/>
        <v>0</v>
      </c>
      <c r="M18" s="9">
        <f>32375+14291</f>
        <v>46666</v>
      </c>
      <c r="N18" s="8"/>
      <c r="O18" s="8">
        <v>46666</v>
      </c>
      <c r="P18" s="8"/>
      <c r="Q18" s="23">
        <f t="shared" si="8"/>
        <v>0</v>
      </c>
      <c r="R18" s="8">
        <v>8830</v>
      </c>
      <c r="S18" s="8"/>
      <c r="T18" s="8">
        <f>8830+8000+14291</f>
        <v>31121</v>
      </c>
      <c r="U18" s="8"/>
      <c r="V18" s="8"/>
    </row>
  </sheetData>
  <mergeCells count="4">
    <mergeCell ref="C1:G1"/>
    <mergeCell ref="H1:L1"/>
    <mergeCell ref="M1:Q1"/>
    <mergeCell ref="R1:V1"/>
  </mergeCells>
  <pageMargins left="0.708661417322835" right="0.708661417322835" top="0.748031496062992" bottom="0.748031496062992" header="0.31496062992126" footer="0.3149606299212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AF27"/>
  <sheetViews>
    <sheetView workbookViewId="0">
      <pane xSplit="1" ySplit="1" topLeftCell="K2" activePane="bottomRight" state="frozen"/>
      <selection/>
      <selection pane="topRight"/>
      <selection pane="bottomLeft"/>
      <selection pane="bottomRight" activeCell="AF7" sqref="AF7"/>
    </sheetView>
  </sheetViews>
  <sheetFormatPr defaultColWidth="9" defaultRowHeight="14.25"/>
  <cols>
    <col min="1" max="1" width="23.5" style="2" customWidth="1"/>
    <col min="2" max="2" width="11.25" style="2" hidden="1" customWidth="1"/>
    <col min="3" max="6" width="7.625" style="2" hidden="1" customWidth="1"/>
    <col min="7" max="7" width="7.625" style="3" hidden="1" customWidth="1"/>
    <col min="8" max="12" width="7.625" style="2" hidden="1" customWidth="1"/>
    <col min="13" max="17" width="9" style="2" hidden="1" customWidth="1"/>
    <col min="18" max="25" width="9" style="2"/>
    <col min="26" max="26" width="12.625" style="2"/>
    <col min="27" max="31" width="9" style="2"/>
    <col min="32" max="32" width="9.875" style="2" customWidth="1"/>
    <col min="33" max="33" width="9" style="2"/>
    <col min="34" max="34" width="12.625" style="2"/>
    <col min="35" max="16384" width="9" style="2"/>
  </cols>
  <sheetData>
    <row r="1" s="1" customFormat="1" spans="1:32">
      <c r="A1" s="4"/>
      <c r="B1" s="4" t="s">
        <v>252</v>
      </c>
      <c r="C1" s="4" t="s">
        <v>253</v>
      </c>
      <c r="D1" s="4"/>
      <c r="E1" s="4"/>
      <c r="F1" s="4"/>
      <c r="G1" s="4"/>
      <c r="H1" s="4" t="s">
        <v>254</v>
      </c>
      <c r="I1" s="4"/>
      <c r="J1" s="4"/>
      <c r="K1" s="4"/>
      <c r="L1" s="4"/>
      <c r="M1" s="4" t="s">
        <v>257</v>
      </c>
      <c r="N1" s="4"/>
      <c r="O1" s="4"/>
      <c r="P1" s="4"/>
      <c r="Q1" s="5"/>
      <c r="R1" s="4" t="s">
        <v>258</v>
      </c>
      <c r="S1" s="4"/>
      <c r="T1" s="4"/>
      <c r="U1" s="4"/>
      <c r="V1" s="4"/>
      <c r="W1" s="4" t="s">
        <v>259</v>
      </c>
      <c r="X1" s="4"/>
      <c r="Y1" s="4"/>
      <c r="Z1" s="4"/>
      <c r="AA1" s="4"/>
      <c r="AB1" s="4" t="s">
        <v>260</v>
      </c>
      <c r="AC1" s="4"/>
      <c r="AD1" s="4"/>
      <c r="AE1" s="4"/>
      <c r="AF1" s="4"/>
    </row>
    <row r="2" s="1" customFormat="1" spans="1:32">
      <c r="A2" s="4"/>
      <c r="B2" s="4" t="s">
        <v>188</v>
      </c>
      <c r="C2" s="4" t="s">
        <v>189</v>
      </c>
      <c r="D2" s="4" t="s">
        <v>190</v>
      </c>
      <c r="E2" s="4" t="s">
        <v>191</v>
      </c>
      <c r="F2" s="4" t="s">
        <v>192</v>
      </c>
      <c r="G2" s="6" t="s">
        <v>188</v>
      </c>
      <c r="H2" s="4" t="s">
        <v>189</v>
      </c>
      <c r="I2" s="4" t="s">
        <v>190</v>
      </c>
      <c r="J2" s="4" t="s">
        <v>191</v>
      </c>
      <c r="K2" s="4" t="s">
        <v>192</v>
      </c>
      <c r="L2" s="6" t="s">
        <v>188</v>
      </c>
      <c r="M2" s="4" t="s">
        <v>189</v>
      </c>
      <c r="N2" s="4" t="s">
        <v>190</v>
      </c>
      <c r="O2" s="4" t="s">
        <v>191</v>
      </c>
      <c r="P2" s="4" t="s">
        <v>192</v>
      </c>
      <c r="Q2" s="7" t="s">
        <v>188</v>
      </c>
      <c r="R2" s="4" t="s">
        <v>189</v>
      </c>
      <c r="S2" s="4" t="s">
        <v>190</v>
      </c>
      <c r="T2" s="4" t="s">
        <v>191</v>
      </c>
      <c r="U2" s="4" t="s">
        <v>192</v>
      </c>
      <c r="V2" s="6" t="s">
        <v>188</v>
      </c>
      <c r="W2" s="4" t="s">
        <v>189</v>
      </c>
      <c r="X2" s="4" t="s">
        <v>190</v>
      </c>
      <c r="Y2" s="4" t="s">
        <v>191</v>
      </c>
      <c r="Z2" s="4" t="s">
        <v>192</v>
      </c>
      <c r="AA2" s="6" t="s">
        <v>188</v>
      </c>
      <c r="AB2" s="4" t="s">
        <v>189</v>
      </c>
      <c r="AC2" s="4" t="s">
        <v>190</v>
      </c>
      <c r="AD2" s="4" t="s">
        <v>191</v>
      </c>
      <c r="AE2" s="4" t="s">
        <v>192</v>
      </c>
      <c r="AF2" s="6" t="s">
        <v>188</v>
      </c>
    </row>
    <row r="3" ht="16.5" spans="1:32">
      <c r="A3" s="8" t="s">
        <v>193</v>
      </c>
      <c r="B3" s="9">
        <f t="shared" ref="B3:L3" si="0">B4+B8+B9+B11+B10+B17</f>
        <v>4391</v>
      </c>
      <c r="C3" s="9">
        <f t="shared" si="0"/>
        <v>628437</v>
      </c>
      <c r="D3" s="9">
        <f t="shared" si="0"/>
        <v>18833</v>
      </c>
      <c r="E3" s="9">
        <f t="shared" si="0"/>
        <v>448001</v>
      </c>
      <c r="F3" s="10">
        <f t="shared" si="0"/>
        <v>181863</v>
      </c>
      <c r="G3" s="11">
        <f t="shared" si="0"/>
        <v>21797</v>
      </c>
      <c r="H3" s="9">
        <f t="shared" si="0"/>
        <v>580369</v>
      </c>
      <c r="I3" s="9">
        <f t="shared" si="0"/>
        <v>0</v>
      </c>
      <c r="J3" s="9">
        <f t="shared" si="0"/>
        <v>428539</v>
      </c>
      <c r="K3" s="9">
        <f t="shared" si="0"/>
        <v>153089</v>
      </c>
      <c r="L3" s="9">
        <f t="shared" si="0"/>
        <v>20538</v>
      </c>
      <c r="M3" s="9">
        <f>M4+M8+M9+M11+M10+M17+M18</f>
        <v>1170377</v>
      </c>
      <c r="N3" s="9">
        <f>N4+N8+N9+N11+N10+N17+N18</f>
        <v>0</v>
      </c>
      <c r="O3" s="9">
        <f>O4+O8+O9+O11+O10+O17+O18</f>
        <v>1076761.9</v>
      </c>
      <c r="P3" s="9">
        <f>P4+P8+P9+P11+P10+P17+P18</f>
        <v>78367</v>
      </c>
      <c r="Q3" s="12">
        <f>Q4+Q8+Q9+Q11+Q10+Q17+Q18</f>
        <v>36785.1</v>
      </c>
      <c r="R3" s="13">
        <v>1173048</v>
      </c>
      <c r="S3" s="13">
        <v>9014</v>
      </c>
      <c r="T3" s="13">
        <v>1076791</v>
      </c>
      <c r="U3" s="14">
        <v>90281</v>
      </c>
      <c r="V3" s="15">
        <v>36787</v>
      </c>
      <c r="W3" s="13">
        <v>682413.596248</v>
      </c>
      <c r="X3" s="13">
        <v>30234</v>
      </c>
      <c r="Y3" s="13">
        <v>617598</v>
      </c>
      <c r="Z3" s="14">
        <v>39757</v>
      </c>
      <c r="AA3" s="14">
        <v>92079.596248</v>
      </c>
      <c r="AB3" s="13">
        <v>562436</v>
      </c>
      <c r="AC3" s="13">
        <v>5563</v>
      </c>
      <c r="AD3" s="13">
        <v>548540</v>
      </c>
      <c r="AE3" s="14">
        <v>101954</v>
      </c>
      <c r="AF3" s="15">
        <v>9584.59624799993</v>
      </c>
    </row>
    <row r="4" ht="16.5" spans="1:32">
      <c r="A4" s="8" t="s">
        <v>194</v>
      </c>
      <c r="B4" s="9">
        <f>SUM(B5:B7)</f>
        <v>623</v>
      </c>
      <c r="C4" s="9">
        <f>SUM(C5:C7)</f>
        <v>541233</v>
      </c>
      <c r="D4" s="9"/>
      <c r="E4" s="9">
        <f t="shared" ref="E4:Q4" si="1">SUM(E5:E7)</f>
        <v>365088</v>
      </c>
      <c r="F4" s="9">
        <f t="shared" si="1"/>
        <v>169768</v>
      </c>
      <c r="G4" s="11">
        <f t="shared" si="1"/>
        <v>7000</v>
      </c>
      <c r="H4" s="9">
        <f t="shared" si="1"/>
        <v>563400</v>
      </c>
      <c r="I4" s="9">
        <f t="shared" si="1"/>
        <v>0</v>
      </c>
      <c r="J4" s="9">
        <f t="shared" si="1"/>
        <v>351084</v>
      </c>
      <c r="K4" s="9">
        <f t="shared" si="1"/>
        <v>153089</v>
      </c>
      <c r="L4" s="9">
        <f t="shared" si="1"/>
        <v>66227</v>
      </c>
      <c r="M4" s="9">
        <v>876125</v>
      </c>
      <c r="N4" s="9">
        <f t="shared" si="1"/>
        <v>-38739</v>
      </c>
      <c r="O4" s="9">
        <v>760019</v>
      </c>
      <c r="P4" s="9">
        <f t="shared" si="1"/>
        <v>78367</v>
      </c>
      <c r="Q4" s="12">
        <f t="shared" si="1"/>
        <v>5740</v>
      </c>
      <c r="R4" s="13">
        <v>847385</v>
      </c>
      <c r="S4" s="13"/>
      <c r="T4" s="13">
        <v>760048</v>
      </c>
      <c r="U4" s="13">
        <v>87762</v>
      </c>
      <c r="V4" s="15">
        <v>6575</v>
      </c>
      <c r="W4" s="13">
        <v>335864.596248</v>
      </c>
      <c r="X4" s="13">
        <v>0</v>
      </c>
      <c r="Y4" s="13">
        <v>302643</v>
      </c>
      <c r="Z4" s="13">
        <v>39757</v>
      </c>
      <c r="AA4" s="15">
        <v>39.5962479999871</v>
      </c>
      <c r="AB4" s="13">
        <v>532650</v>
      </c>
      <c r="AC4" s="13"/>
      <c r="AD4" s="13">
        <v>428102</v>
      </c>
      <c r="AE4" s="13">
        <v>101954</v>
      </c>
      <c r="AF4" s="15">
        <v>2633.59624799993</v>
      </c>
    </row>
    <row r="5" ht="16.5" spans="1:32">
      <c r="A5" s="16" t="s">
        <v>195</v>
      </c>
      <c r="B5" s="9"/>
      <c r="C5" s="9">
        <v>0</v>
      </c>
      <c r="D5" s="9"/>
      <c r="E5" s="9">
        <v>0</v>
      </c>
      <c r="F5" s="9"/>
      <c r="G5" s="11">
        <f t="shared" ref="G5:G10" si="2">B5+D5+(C5-E5-F5)</f>
        <v>0</v>
      </c>
      <c r="H5" s="9">
        <v>8000</v>
      </c>
      <c r="I5" s="9"/>
      <c r="J5" s="9">
        <v>0</v>
      </c>
      <c r="K5" s="9">
        <v>8000</v>
      </c>
      <c r="L5" s="9">
        <f t="shared" ref="L5:L10" si="3">G5+H5+I5-J5-K5</f>
        <v>0</v>
      </c>
      <c r="M5" s="8"/>
      <c r="N5" s="8"/>
      <c r="O5" s="8"/>
      <c r="P5" s="8"/>
      <c r="Q5" s="17">
        <f t="shared" ref="Q5:Q10" si="4">G5+M5+N5-O5-P5</f>
        <v>0</v>
      </c>
      <c r="R5" s="13">
        <v>0</v>
      </c>
      <c r="S5" s="13"/>
      <c r="T5" s="13">
        <v>0</v>
      </c>
      <c r="U5" s="13"/>
      <c r="V5" s="15">
        <v>0</v>
      </c>
      <c r="W5" s="13">
        <v>10023.44</v>
      </c>
      <c r="X5" s="13"/>
      <c r="Y5" s="13">
        <v>9995</v>
      </c>
      <c r="Z5" s="13"/>
      <c r="AA5" s="15">
        <v>28.4400000000005</v>
      </c>
      <c r="AB5" s="13">
        <v>16300</v>
      </c>
      <c r="AC5" s="13"/>
      <c r="AD5" s="13">
        <v>16300</v>
      </c>
      <c r="AE5" s="13"/>
      <c r="AF5" s="15">
        <v>28.4400000000005</v>
      </c>
    </row>
    <row r="6" ht="16.5" spans="1:32">
      <c r="A6" s="16" t="s">
        <v>196</v>
      </c>
      <c r="B6" s="9"/>
      <c r="C6" s="9">
        <v>2785</v>
      </c>
      <c r="D6" s="9"/>
      <c r="E6" s="9">
        <v>0</v>
      </c>
      <c r="F6" s="18">
        <v>2785</v>
      </c>
      <c r="G6" s="11">
        <f t="shared" si="2"/>
        <v>0</v>
      </c>
      <c r="H6" s="9">
        <v>2000</v>
      </c>
      <c r="I6" s="9"/>
      <c r="J6" s="9">
        <v>0</v>
      </c>
      <c r="K6" s="9">
        <v>2000</v>
      </c>
      <c r="L6" s="9">
        <f t="shared" si="3"/>
        <v>0</v>
      </c>
      <c r="M6" s="8"/>
      <c r="N6" s="8"/>
      <c r="O6" s="8"/>
      <c r="P6" s="8"/>
      <c r="Q6" s="17">
        <f t="shared" si="4"/>
        <v>0</v>
      </c>
      <c r="R6" s="13"/>
      <c r="S6" s="13"/>
      <c r="T6" s="13">
        <v>0</v>
      </c>
      <c r="U6" s="14"/>
      <c r="V6" s="15">
        <v>0</v>
      </c>
      <c r="W6" s="13">
        <v>1584.83</v>
      </c>
      <c r="X6" s="13"/>
      <c r="Y6" s="13">
        <v>1576</v>
      </c>
      <c r="Z6" s="14"/>
      <c r="AA6" s="15">
        <v>8.82999999999993</v>
      </c>
      <c r="AB6" s="13">
        <v>2250</v>
      </c>
      <c r="AC6" s="13"/>
      <c r="AD6" s="13">
        <v>2250</v>
      </c>
      <c r="AE6" s="14"/>
      <c r="AF6" s="15">
        <v>8.82999999999993</v>
      </c>
    </row>
    <row r="7" ht="16.5" spans="1:32">
      <c r="A7" s="16" t="s">
        <v>197</v>
      </c>
      <c r="B7" s="9">
        <v>623</v>
      </c>
      <c r="C7" s="9">
        <v>538448</v>
      </c>
      <c r="D7" s="9"/>
      <c r="E7" s="9">
        <v>365088</v>
      </c>
      <c r="F7" s="18">
        <v>166983</v>
      </c>
      <c r="G7" s="11">
        <f t="shared" si="2"/>
        <v>7000</v>
      </c>
      <c r="H7" s="9">
        <v>553400</v>
      </c>
      <c r="I7" s="9"/>
      <c r="J7" s="9">
        <v>351084</v>
      </c>
      <c r="K7" s="9">
        <v>143089</v>
      </c>
      <c r="L7" s="9">
        <f t="shared" si="3"/>
        <v>66227</v>
      </c>
      <c r="M7" s="8">
        <v>875865</v>
      </c>
      <c r="N7" s="8">
        <f>-(N10+N18)</f>
        <v>-38739</v>
      </c>
      <c r="O7" s="8">
        <v>760019</v>
      </c>
      <c r="P7" s="8">
        <v>78367</v>
      </c>
      <c r="Q7" s="17">
        <f t="shared" si="4"/>
        <v>5740</v>
      </c>
      <c r="R7" s="13">
        <v>847385</v>
      </c>
      <c r="S7" s="13"/>
      <c r="T7" s="13">
        <v>760048</v>
      </c>
      <c r="U7" s="14">
        <v>87762</v>
      </c>
      <c r="V7" s="15">
        <v>6575</v>
      </c>
      <c r="W7" s="13">
        <v>324256.326248</v>
      </c>
      <c r="X7" s="13"/>
      <c r="Y7" s="13">
        <v>291072</v>
      </c>
      <c r="Z7" s="14">
        <v>39757</v>
      </c>
      <c r="AA7" s="15">
        <v>3.32624800002668</v>
      </c>
      <c r="AB7" s="13">
        <v>514100</v>
      </c>
      <c r="AC7" s="13"/>
      <c r="AD7" s="13">
        <v>409552</v>
      </c>
      <c r="AE7" s="14">
        <v>101954</v>
      </c>
      <c r="AF7" s="15">
        <v>2597.32624800003</v>
      </c>
    </row>
    <row r="8" ht="16.5" spans="1:32">
      <c r="A8" s="8" t="s">
        <v>199</v>
      </c>
      <c r="B8" s="9">
        <v>800</v>
      </c>
      <c r="C8" s="9">
        <v>11333</v>
      </c>
      <c r="D8" s="9"/>
      <c r="E8" s="9">
        <v>1510</v>
      </c>
      <c r="F8" s="18">
        <v>8623</v>
      </c>
      <c r="G8" s="11">
        <f t="shared" si="2"/>
        <v>2000</v>
      </c>
      <c r="H8" s="9">
        <v>8000</v>
      </c>
      <c r="I8" s="9"/>
      <c r="J8" s="9">
        <v>5604</v>
      </c>
      <c r="K8" s="9"/>
      <c r="L8" s="9">
        <f t="shared" si="3"/>
        <v>4396</v>
      </c>
      <c r="M8" s="8">
        <v>3910</v>
      </c>
      <c r="N8" s="8"/>
      <c r="O8" s="8">
        <v>2767</v>
      </c>
      <c r="P8" s="8"/>
      <c r="Q8" s="17">
        <f t="shared" si="4"/>
        <v>3143</v>
      </c>
      <c r="R8" s="13">
        <v>4686</v>
      </c>
      <c r="S8" s="13"/>
      <c r="T8" s="13">
        <v>2767</v>
      </c>
      <c r="U8" s="14">
        <v>2519</v>
      </c>
      <c r="V8" s="15">
        <v>1400</v>
      </c>
      <c r="W8" s="13">
        <v>3883</v>
      </c>
      <c r="X8" s="13"/>
      <c r="Y8" s="13">
        <v>3754</v>
      </c>
      <c r="Z8" s="14"/>
      <c r="AA8" s="15">
        <v>1529</v>
      </c>
      <c r="AB8" s="13">
        <v>3500</v>
      </c>
      <c r="AC8" s="13"/>
      <c r="AD8" s="13">
        <v>3500</v>
      </c>
      <c r="AE8" s="14"/>
      <c r="AF8" s="15">
        <v>1529</v>
      </c>
    </row>
    <row r="9" ht="16.5" spans="1:32">
      <c r="A9" s="8" t="s">
        <v>200</v>
      </c>
      <c r="B9" s="9"/>
      <c r="C9" s="9">
        <v>6900</v>
      </c>
      <c r="D9" s="9"/>
      <c r="E9" s="9">
        <v>3477</v>
      </c>
      <c r="F9" s="9">
        <v>3423</v>
      </c>
      <c r="G9" s="11">
        <f t="shared" si="2"/>
        <v>0</v>
      </c>
      <c r="H9" s="9">
        <v>4632</v>
      </c>
      <c r="I9" s="9"/>
      <c r="J9" s="9">
        <v>4632</v>
      </c>
      <c r="K9" s="9"/>
      <c r="L9" s="9">
        <f t="shared" si="3"/>
        <v>0</v>
      </c>
      <c r="M9" s="8">
        <f>3644+920</f>
        <v>4564</v>
      </c>
      <c r="N9" s="8"/>
      <c r="O9" s="8">
        <v>4431</v>
      </c>
      <c r="P9" s="8"/>
      <c r="Q9" s="17">
        <f t="shared" si="4"/>
        <v>133</v>
      </c>
      <c r="R9" s="13">
        <v>5424</v>
      </c>
      <c r="S9" s="13"/>
      <c r="T9" s="13">
        <v>4430</v>
      </c>
      <c r="U9" s="13"/>
      <c r="V9" s="15">
        <v>994</v>
      </c>
      <c r="W9" s="13">
        <v>7456</v>
      </c>
      <c r="X9" s="13"/>
      <c r="Y9" s="13">
        <v>7519</v>
      </c>
      <c r="Z9" s="13"/>
      <c r="AA9" s="15">
        <v>931</v>
      </c>
      <c r="AB9" s="13">
        <v>4760</v>
      </c>
      <c r="AC9" s="13"/>
      <c r="AD9" s="13">
        <v>4760</v>
      </c>
      <c r="AE9" s="13"/>
      <c r="AF9" s="15">
        <v>931</v>
      </c>
    </row>
    <row r="10" ht="16.5" spans="1:32">
      <c r="A10" s="19" t="s">
        <v>201</v>
      </c>
      <c r="B10" s="9"/>
      <c r="C10" s="9">
        <v>2026</v>
      </c>
      <c r="D10" s="9">
        <v>18833</v>
      </c>
      <c r="E10" s="9">
        <f>10405+64+10390</f>
        <v>20859</v>
      </c>
      <c r="F10" s="9"/>
      <c r="G10" s="11">
        <f t="shared" si="2"/>
        <v>0</v>
      </c>
      <c r="H10" s="9">
        <v>4337</v>
      </c>
      <c r="I10" s="9"/>
      <c r="J10" s="9">
        <f>12161+100</f>
        <v>12261</v>
      </c>
      <c r="K10" s="9"/>
      <c r="L10" s="9">
        <f t="shared" si="3"/>
        <v>-7924</v>
      </c>
      <c r="M10" s="8">
        <v>5083</v>
      </c>
      <c r="N10" s="8">
        <v>10800</v>
      </c>
      <c r="O10" s="8">
        <f>15602+281</f>
        <v>15883</v>
      </c>
      <c r="P10" s="8"/>
      <c r="Q10" s="17">
        <f t="shared" si="4"/>
        <v>0</v>
      </c>
      <c r="R10" s="13">
        <v>6869</v>
      </c>
      <c r="S10" s="13">
        <v>9014</v>
      </c>
      <c r="T10" s="13">
        <v>15883</v>
      </c>
      <c r="U10" s="13"/>
      <c r="V10" s="15">
        <v>0</v>
      </c>
      <c r="W10" s="13">
        <v>13505</v>
      </c>
      <c r="X10" s="13">
        <v>6860</v>
      </c>
      <c r="Y10" s="13">
        <v>20365</v>
      </c>
      <c r="Z10" s="13"/>
      <c r="AA10" s="15">
        <v>0</v>
      </c>
      <c r="AB10" s="13">
        <v>20974</v>
      </c>
      <c r="AC10" s="13">
        <v>5563</v>
      </c>
      <c r="AD10" s="13">
        <v>26537</v>
      </c>
      <c r="AE10" s="13"/>
      <c r="AF10" s="15">
        <v>0</v>
      </c>
    </row>
    <row r="11" ht="16.5" spans="1:32">
      <c r="A11" s="8" t="s">
        <v>202</v>
      </c>
      <c r="B11" s="9">
        <f>SUM(B12:B16)</f>
        <v>2968</v>
      </c>
      <c r="C11" s="20">
        <f>SUM(C12:C16)</f>
        <v>3745</v>
      </c>
      <c r="D11" s="18"/>
      <c r="E11" s="9">
        <f t="shared" ref="E11:Q11" si="5">SUM(E12:E16)</f>
        <v>3867</v>
      </c>
      <c r="F11" s="9">
        <f t="shared" si="5"/>
        <v>49</v>
      </c>
      <c r="G11" s="11">
        <f t="shared" si="5"/>
        <v>2797</v>
      </c>
      <c r="H11" s="9">
        <f t="shared" si="5"/>
        <v>0</v>
      </c>
      <c r="I11" s="9">
        <f t="shared" si="5"/>
        <v>0</v>
      </c>
      <c r="J11" s="9">
        <f t="shared" si="5"/>
        <v>2728</v>
      </c>
      <c r="K11" s="9">
        <f t="shared" si="5"/>
        <v>0</v>
      </c>
      <c r="L11" s="9">
        <f t="shared" si="5"/>
        <v>69</v>
      </c>
      <c r="M11" s="9">
        <f t="shared" si="5"/>
        <v>3929</v>
      </c>
      <c r="N11" s="9">
        <f t="shared" si="5"/>
        <v>0</v>
      </c>
      <c r="O11" s="9">
        <f t="shared" si="5"/>
        <v>2826.9</v>
      </c>
      <c r="P11" s="9">
        <f t="shared" si="5"/>
        <v>0</v>
      </c>
      <c r="Q11" s="12">
        <f t="shared" si="5"/>
        <v>3899.1</v>
      </c>
      <c r="R11" s="14">
        <v>3979</v>
      </c>
      <c r="S11" s="14"/>
      <c r="T11" s="13">
        <v>2827</v>
      </c>
      <c r="U11" s="13"/>
      <c r="V11" s="15">
        <v>3949</v>
      </c>
      <c r="W11" s="14">
        <v>6212</v>
      </c>
      <c r="X11" s="14"/>
      <c r="Y11" s="13">
        <v>2797</v>
      </c>
      <c r="Z11" s="13"/>
      <c r="AA11" s="15">
        <v>7364</v>
      </c>
      <c r="AB11" s="14">
        <v>552</v>
      </c>
      <c r="AC11" s="14">
        <v>0</v>
      </c>
      <c r="AD11" s="14">
        <v>3425</v>
      </c>
      <c r="AE11" s="13"/>
      <c r="AF11" s="15">
        <v>4491</v>
      </c>
    </row>
    <row r="12" ht="16.5" spans="1:32">
      <c r="A12" s="16" t="s">
        <v>204</v>
      </c>
      <c r="B12" s="9">
        <v>11</v>
      </c>
      <c r="C12" s="9">
        <f>11+7</f>
        <v>18</v>
      </c>
      <c r="D12" s="9"/>
      <c r="E12" s="9">
        <v>18</v>
      </c>
      <c r="F12" s="9"/>
      <c r="G12" s="11">
        <f t="shared" ref="G12:G18" si="6">B12+D12+(C12-E12-F12)</f>
        <v>11</v>
      </c>
      <c r="H12" s="9"/>
      <c r="I12" s="9"/>
      <c r="J12" s="9">
        <v>11</v>
      </c>
      <c r="K12" s="9"/>
      <c r="L12" s="9">
        <f t="shared" ref="L12:L18" si="7">G12+H12+I12-J12-K12</f>
        <v>0</v>
      </c>
      <c r="M12" s="8">
        <f>5+1+27</f>
        <v>33</v>
      </c>
      <c r="N12" s="8"/>
      <c r="O12" s="21">
        <v>26</v>
      </c>
      <c r="P12" s="8"/>
      <c r="Q12" s="17">
        <f t="shared" ref="Q12:Q18" si="8">G12+M12+N12-O12-P12</f>
        <v>18</v>
      </c>
      <c r="R12" s="13">
        <v>33</v>
      </c>
      <c r="S12" s="13"/>
      <c r="T12" s="13">
        <v>26</v>
      </c>
      <c r="U12" s="13"/>
      <c r="V12" s="15">
        <v>18</v>
      </c>
      <c r="W12" s="14">
        <v>5</v>
      </c>
      <c r="X12" s="13"/>
      <c r="Y12" s="14">
        <v>23</v>
      </c>
      <c r="Z12" s="13"/>
      <c r="AA12" s="15">
        <v>0</v>
      </c>
      <c r="AB12" s="13"/>
      <c r="AC12" s="13"/>
      <c r="AD12" s="13"/>
      <c r="AE12" s="13"/>
      <c r="AF12" s="15">
        <v>0</v>
      </c>
    </row>
    <row r="13" ht="16.5" spans="1:32">
      <c r="A13" s="16" t="s">
        <v>205</v>
      </c>
      <c r="B13" s="9">
        <v>99</v>
      </c>
      <c r="C13" s="9"/>
      <c r="D13" s="9"/>
      <c r="E13" s="9">
        <v>99</v>
      </c>
      <c r="F13" s="9"/>
      <c r="G13" s="11">
        <f t="shared" si="6"/>
        <v>0</v>
      </c>
      <c r="H13" s="9"/>
      <c r="I13" s="9"/>
      <c r="J13" s="9"/>
      <c r="K13" s="9"/>
      <c r="L13" s="9">
        <f t="shared" si="7"/>
        <v>0</v>
      </c>
      <c r="M13" s="8"/>
      <c r="N13" s="8"/>
      <c r="O13" s="8"/>
      <c r="P13" s="8"/>
      <c r="Q13" s="17">
        <f t="shared" si="8"/>
        <v>0</v>
      </c>
      <c r="R13" s="13"/>
      <c r="S13" s="13"/>
      <c r="T13" s="13"/>
      <c r="U13" s="13"/>
      <c r="V13" s="15">
        <v>0</v>
      </c>
      <c r="W13" s="14"/>
      <c r="X13" s="13"/>
      <c r="Y13" s="14"/>
      <c r="Z13" s="13"/>
      <c r="AA13" s="15">
        <v>0</v>
      </c>
      <c r="AB13" s="13"/>
      <c r="AC13" s="13"/>
      <c r="AD13" s="13"/>
      <c r="AE13" s="13"/>
      <c r="AF13" s="15">
        <v>0</v>
      </c>
    </row>
    <row r="14" ht="15.75" customHeight="1" spans="1:32">
      <c r="A14" s="16" t="s">
        <v>206</v>
      </c>
      <c r="B14" s="9">
        <v>181</v>
      </c>
      <c r="C14" s="22">
        <f>469+626</f>
        <v>1095</v>
      </c>
      <c r="D14" s="9"/>
      <c r="E14" s="9">
        <v>581</v>
      </c>
      <c r="F14" s="9">
        <v>49</v>
      </c>
      <c r="G14" s="11">
        <f t="shared" si="6"/>
        <v>646</v>
      </c>
      <c r="H14" s="9"/>
      <c r="I14" s="9"/>
      <c r="J14" s="9">
        <v>622</v>
      </c>
      <c r="K14" s="9"/>
      <c r="L14" s="9">
        <f t="shared" si="7"/>
        <v>24</v>
      </c>
      <c r="M14" s="21">
        <f>469+368</f>
        <v>837</v>
      </c>
      <c r="N14" s="8"/>
      <c r="O14" s="8">
        <v>651.6</v>
      </c>
      <c r="P14" s="8"/>
      <c r="Q14" s="17">
        <f t="shared" si="8"/>
        <v>831.4</v>
      </c>
      <c r="R14" s="13">
        <v>837</v>
      </c>
      <c r="S14" s="13"/>
      <c r="T14" s="13">
        <v>657</v>
      </c>
      <c r="U14" s="13"/>
      <c r="V14" s="15">
        <v>826</v>
      </c>
      <c r="W14" s="14">
        <v>1267</v>
      </c>
      <c r="X14" s="13"/>
      <c r="Y14" s="14">
        <v>711</v>
      </c>
      <c r="Z14" s="13"/>
      <c r="AA14" s="15">
        <v>1382</v>
      </c>
      <c r="AB14" s="13">
        <v>470</v>
      </c>
      <c r="AC14" s="13"/>
      <c r="AD14" s="13">
        <v>600</v>
      </c>
      <c r="AE14" s="13"/>
      <c r="AF14" s="15">
        <v>1252</v>
      </c>
    </row>
    <row r="15" ht="16.5" spans="1:32">
      <c r="A15" s="16" t="s">
        <v>207</v>
      </c>
      <c r="B15" s="9">
        <v>219</v>
      </c>
      <c r="C15" s="9">
        <v>1200</v>
      </c>
      <c r="D15" s="9"/>
      <c r="E15" s="9">
        <v>886</v>
      </c>
      <c r="F15" s="9"/>
      <c r="G15" s="11">
        <f t="shared" si="6"/>
        <v>533</v>
      </c>
      <c r="H15" s="9"/>
      <c r="I15" s="9"/>
      <c r="J15" s="9">
        <v>514</v>
      </c>
      <c r="K15" s="9"/>
      <c r="L15" s="9">
        <f t="shared" si="7"/>
        <v>19</v>
      </c>
      <c r="M15" s="8">
        <v>600</v>
      </c>
      <c r="N15" s="8"/>
      <c r="O15" s="8">
        <v>504.7</v>
      </c>
      <c r="P15" s="8"/>
      <c r="Q15" s="17">
        <f t="shared" si="8"/>
        <v>628.3</v>
      </c>
      <c r="R15" s="13">
        <v>600</v>
      </c>
      <c r="S15" s="13"/>
      <c r="T15" s="13">
        <v>499</v>
      </c>
      <c r="U15" s="13"/>
      <c r="V15" s="15">
        <v>634</v>
      </c>
      <c r="W15" s="14">
        <v>1200</v>
      </c>
      <c r="X15" s="13"/>
      <c r="Y15" s="14">
        <v>10</v>
      </c>
      <c r="Z15" s="13"/>
      <c r="AA15" s="15">
        <v>1824</v>
      </c>
      <c r="AB15" s="13"/>
      <c r="AC15" s="13"/>
      <c r="AD15" s="13">
        <v>825</v>
      </c>
      <c r="AE15" s="13"/>
      <c r="AF15" s="15">
        <v>999</v>
      </c>
    </row>
    <row r="16" ht="16.5" spans="1:32">
      <c r="A16" s="16" t="s">
        <v>208</v>
      </c>
      <c r="B16" s="9">
        <v>2458</v>
      </c>
      <c r="C16" s="9">
        <f>870+409-102+178+77</f>
        <v>1432</v>
      </c>
      <c r="D16" s="9"/>
      <c r="E16" s="9">
        <v>2283</v>
      </c>
      <c r="F16" s="9"/>
      <c r="G16" s="11">
        <f t="shared" si="6"/>
        <v>1607</v>
      </c>
      <c r="H16" s="9"/>
      <c r="I16" s="9"/>
      <c r="J16" s="9">
        <v>1581</v>
      </c>
      <c r="K16" s="9"/>
      <c r="L16" s="9">
        <f t="shared" si="7"/>
        <v>26</v>
      </c>
      <c r="M16" s="8">
        <v>2459</v>
      </c>
      <c r="N16" s="8"/>
      <c r="O16" s="8">
        <v>1644.6</v>
      </c>
      <c r="P16" s="8"/>
      <c r="Q16" s="17">
        <f t="shared" si="8"/>
        <v>2421.4</v>
      </c>
      <c r="R16" s="13">
        <v>2509</v>
      </c>
      <c r="S16" s="13"/>
      <c r="T16" s="13">
        <v>1645</v>
      </c>
      <c r="U16" s="13"/>
      <c r="V16" s="15">
        <v>2471</v>
      </c>
      <c r="W16" s="14">
        <v>3740</v>
      </c>
      <c r="X16" s="13"/>
      <c r="Y16" s="14">
        <v>2053</v>
      </c>
      <c r="Z16" s="13"/>
      <c r="AA16" s="15">
        <v>4158</v>
      </c>
      <c r="AB16" s="13">
        <v>82</v>
      </c>
      <c r="AC16" s="13"/>
      <c r="AD16" s="13">
        <v>2000</v>
      </c>
      <c r="AE16" s="13"/>
      <c r="AF16" s="15">
        <v>2240</v>
      </c>
    </row>
    <row r="17" ht="15.75" customHeight="1" spans="1:32">
      <c r="A17" s="19" t="s">
        <v>211</v>
      </c>
      <c r="B17" s="9"/>
      <c r="C17" s="9">
        <v>63200</v>
      </c>
      <c r="D17" s="9"/>
      <c r="E17" s="9">
        <v>53200</v>
      </c>
      <c r="F17" s="9"/>
      <c r="G17" s="11">
        <f t="shared" si="6"/>
        <v>10000</v>
      </c>
      <c r="H17" s="9"/>
      <c r="I17" s="9"/>
      <c r="J17" s="9">
        <f>42230+10000</f>
        <v>52230</v>
      </c>
      <c r="K17" s="9"/>
      <c r="L17" s="9">
        <f t="shared" si="7"/>
        <v>-42230</v>
      </c>
      <c r="M17" s="9">
        <v>230100</v>
      </c>
      <c r="N17" s="8"/>
      <c r="O17" s="8">
        <v>216230</v>
      </c>
      <c r="P17" s="8"/>
      <c r="Q17" s="17">
        <f t="shared" si="8"/>
        <v>23870</v>
      </c>
      <c r="R17" s="13">
        <v>304705</v>
      </c>
      <c r="S17" s="13"/>
      <c r="T17" s="13">
        <v>290836</v>
      </c>
      <c r="U17" s="13"/>
      <c r="V17" s="15">
        <v>23869</v>
      </c>
      <c r="W17" s="13">
        <v>307746</v>
      </c>
      <c r="X17" s="13"/>
      <c r="Y17" s="14">
        <v>249399</v>
      </c>
      <c r="Z17" s="13"/>
      <c r="AA17" s="15">
        <v>82216</v>
      </c>
      <c r="AB17" s="13"/>
      <c r="AC17" s="13"/>
      <c r="AD17" s="13">
        <v>82216</v>
      </c>
      <c r="AE17" s="13"/>
      <c r="AF17" s="15">
        <v>0</v>
      </c>
    </row>
    <row r="18" ht="16.5" spans="1:32">
      <c r="A18" s="19" t="s">
        <v>212</v>
      </c>
      <c r="B18" s="9"/>
      <c r="C18" s="9"/>
      <c r="D18" s="9"/>
      <c r="E18" s="9"/>
      <c r="F18" s="9"/>
      <c r="G18" s="11">
        <f t="shared" si="6"/>
        <v>0</v>
      </c>
      <c r="H18" s="9">
        <v>32375</v>
      </c>
      <c r="I18" s="9"/>
      <c r="J18" s="9">
        <f>32375</f>
        <v>32375</v>
      </c>
      <c r="K18" s="9"/>
      <c r="L18" s="9">
        <f t="shared" si="7"/>
        <v>0</v>
      </c>
      <c r="M18" s="9">
        <f>32375+14291</f>
        <v>46666</v>
      </c>
      <c r="N18" s="8">
        <v>27939</v>
      </c>
      <c r="O18" s="8">
        <v>74605</v>
      </c>
      <c r="P18" s="8"/>
      <c r="Q18" s="17">
        <f t="shared" si="8"/>
        <v>0</v>
      </c>
      <c r="R18" s="13"/>
      <c r="S18" s="13"/>
      <c r="T18" s="13"/>
      <c r="U18" s="13"/>
      <c r="V18" s="15">
        <v>0</v>
      </c>
      <c r="W18" s="13">
        <v>7747</v>
      </c>
      <c r="X18" s="13">
        <v>23374</v>
      </c>
      <c r="Y18" s="13">
        <v>31121</v>
      </c>
      <c r="Z18" s="13"/>
      <c r="AA18" s="15">
        <v>0</v>
      </c>
      <c r="AB18" s="13">
        <v>67272</v>
      </c>
      <c r="AC18" s="13"/>
      <c r="AD18" s="13">
        <v>67272</v>
      </c>
      <c r="AE18" s="13"/>
      <c r="AF18" s="15">
        <v>0</v>
      </c>
    </row>
    <row r="21" spans="1:32">
      <c r="AD21" s="2">
        <v>546525</v>
      </c>
    </row>
    <row r="22" spans="1:32">
      <c r="X22" s="1" t="s">
        <v>261</v>
      </c>
      <c r="Z22" s="2">
        <f>Z7-X18</f>
        <v>16383</v>
      </c>
      <c r="AD22" s="2">
        <f>AD3-AD21</f>
        <v>2015</v>
      </c>
    </row>
    <row r="25" spans="1:32">
      <c r="AD25" s="2">
        <v>82201</v>
      </c>
    </row>
    <row r="27" spans="1:32">
      <c r="X27" s="2">
        <f>331615-Y17</f>
        <v>82216</v>
      </c>
    </row>
  </sheetData>
  <mergeCells count="7">
    <mergeCell ref="C1:G1"/>
    <mergeCell ref="H1:L1"/>
    <mergeCell ref="M1:Q1"/>
    <mergeCell ref="R1:V1"/>
    <mergeCell ref="W1:AA1"/>
    <mergeCell ref="AB1:AF1"/>
    <mergeCell ref="X22:Y22"/>
  </mergeCells>
  <pageMargins left="0.708661417322835" right="0.708661417322835" top="0.748031496062992" bottom="0.748031496062992" header="0.31496062992126" footer="0.31496062992126"/>
  <pageSetup paperSize="9" scale="78"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42"/>
  <sheetViews>
    <sheetView view="pageBreakPreview" zoomScaleNormal="100" workbookViewId="0">
      <selection activeCell="K38" sqref="K38"/>
    </sheetView>
  </sheetViews>
  <sheetFormatPr defaultColWidth="9" defaultRowHeight="16.5"/>
  <cols>
    <col min="1" max="1" width="43.625" style="122" customWidth="1"/>
    <col min="2" max="2" width="10.625" style="205" customWidth="1"/>
    <col min="3" max="3" width="10.625" style="206" customWidth="1"/>
    <col min="4" max="4" width="8.875" style="205" customWidth="1"/>
    <col min="5" max="5" width="8" style="205" customWidth="1"/>
    <col min="6" max="8" width="9" hidden="1" customWidth="1"/>
  </cols>
  <sheetData>
    <row r="1" s="118" customFormat="1" ht="24.95" customHeight="1" spans="1:8">
      <c r="A1" s="118" t="s">
        <v>25</v>
      </c>
      <c r="C1" s="207"/>
    </row>
    <row r="2" s="119" customFormat="1" ht="30" customHeight="1" spans="1:8">
      <c r="A2" s="126" t="s">
        <v>26</v>
      </c>
      <c r="B2" s="126"/>
      <c r="C2" s="208"/>
      <c r="D2" s="126"/>
      <c r="E2" s="126"/>
    </row>
    <row r="3" s="120" customFormat="1" ht="20.1" customHeight="1" spans="1:8">
      <c r="C3" s="209"/>
      <c r="D3" s="127" t="s">
        <v>2</v>
      </c>
      <c r="E3" s="127"/>
    </row>
    <row r="4" s="121" customFormat="1" ht="33" customHeight="1" spans="1:8">
      <c r="A4" s="146" t="s">
        <v>27</v>
      </c>
      <c r="B4" s="147" t="s">
        <v>4</v>
      </c>
      <c r="C4" s="129" t="s">
        <v>5</v>
      </c>
      <c r="D4" s="147" t="s">
        <v>6</v>
      </c>
      <c r="E4" s="147" t="s">
        <v>7</v>
      </c>
      <c r="G4" s="147" t="s">
        <v>8</v>
      </c>
      <c r="H4" s="147" t="s">
        <v>9</v>
      </c>
    </row>
    <row r="5" s="203" customFormat="1" ht="20.1" customHeight="1" spans="1:8">
      <c r="A5" s="185" t="s">
        <v>28</v>
      </c>
      <c r="B5" s="198">
        <f>SUM(B6,B8,B13,B30,B38,B41,B42,B11,B34,B36)</f>
        <v>849393</v>
      </c>
      <c r="C5" s="198">
        <f>SUM(C6,C8,C13,C30,C38,C41,C42,C11,C34,C36)</f>
        <v>588369</v>
      </c>
      <c r="D5" s="198">
        <f>SUM(D6,D8,D13,D30,D38,D41,D42,D11,D34,D36)</f>
        <v>521693</v>
      </c>
      <c r="E5" s="210">
        <f>ROUND((D5/C5-1)*100,1)</f>
        <v>-11.3</v>
      </c>
      <c r="G5" s="198">
        <f>SUM(G6,G8,G13,G30,G38,G41,G42,G11,G34,G36)</f>
        <v>737411</v>
      </c>
      <c r="H5" s="198">
        <f>C5-G5</f>
        <v>-149042</v>
      </c>
    </row>
    <row r="6" s="204" customFormat="1" ht="20.1" customHeight="1" spans="1:8">
      <c r="A6" s="211" t="s">
        <v>29</v>
      </c>
      <c r="B6" s="14">
        <f>B7</f>
        <v>2580</v>
      </c>
      <c r="C6" s="14">
        <f>C7</f>
        <v>2580</v>
      </c>
      <c r="D6" s="14"/>
      <c r="E6" s="212">
        <f t="shared" ref="E6:E42" si="0">ROUND((D6/C6-1)*100,1)</f>
        <v>-100</v>
      </c>
      <c r="G6" s="213">
        <v>2580</v>
      </c>
      <c r="H6" s="214">
        <f t="shared" ref="H6:H41" si="1">C6-G6</f>
        <v>0</v>
      </c>
    </row>
    <row r="7" ht="20.1" customHeight="1" outlineLevel="1" spans="1:8">
      <c r="A7" s="160" t="s">
        <v>30</v>
      </c>
      <c r="B7" s="15">
        <v>2580</v>
      </c>
      <c r="C7" s="15">
        <v>2580</v>
      </c>
      <c r="D7" s="14"/>
      <c r="E7" s="212">
        <f t="shared" si="0"/>
        <v>-100</v>
      </c>
      <c r="G7" s="213">
        <v>2580</v>
      </c>
      <c r="H7" s="214">
        <f t="shared" si="1"/>
        <v>0</v>
      </c>
    </row>
    <row r="8" s="204" customFormat="1" ht="20.1" customHeight="1" spans="1:8">
      <c r="A8" s="211" t="s">
        <v>31</v>
      </c>
      <c r="B8" s="14"/>
      <c r="C8" s="14">
        <f>C9+C10</f>
        <v>137</v>
      </c>
      <c r="D8" s="14"/>
      <c r="E8" s="212">
        <f t="shared" si="0"/>
        <v>-100</v>
      </c>
      <c r="G8" s="213">
        <v>137</v>
      </c>
      <c r="H8" s="214">
        <f t="shared" si="1"/>
        <v>0</v>
      </c>
    </row>
    <row r="9" ht="20.1" customHeight="1" outlineLevel="1" spans="1:8">
      <c r="A9" s="160" t="s">
        <v>32</v>
      </c>
      <c r="B9" s="15"/>
      <c r="C9" s="15">
        <v>37</v>
      </c>
      <c r="D9" s="14"/>
      <c r="E9" s="212">
        <f t="shared" si="0"/>
        <v>-100</v>
      </c>
      <c r="G9" s="213">
        <v>37</v>
      </c>
      <c r="H9" s="214">
        <f t="shared" si="1"/>
        <v>0</v>
      </c>
    </row>
    <row r="10" ht="20.1" customHeight="1" outlineLevel="1" spans="1:8">
      <c r="A10" s="160" t="s">
        <v>33</v>
      </c>
      <c r="B10" s="14"/>
      <c r="C10" s="14">
        <v>100</v>
      </c>
      <c r="D10" s="14"/>
      <c r="E10" s="212">
        <f t="shared" si="0"/>
        <v>-100</v>
      </c>
      <c r="G10" s="213">
        <v>100</v>
      </c>
      <c r="H10" s="214">
        <f t="shared" si="1"/>
        <v>0</v>
      </c>
    </row>
    <row r="11" ht="20.1" customHeight="1" outlineLevel="1" spans="1:8">
      <c r="A11" s="211" t="s">
        <v>34</v>
      </c>
      <c r="B11" s="14">
        <v>424</v>
      </c>
      <c r="C11" s="14">
        <v>424</v>
      </c>
      <c r="D11" s="14"/>
      <c r="E11" s="212">
        <f t="shared" si="0"/>
        <v>-100</v>
      </c>
      <c r="G11" s="213">
        <v>424</v>
      </c>
      <c r="H11" s="214">
        <f t="shared" si="1"/>
        <v>0</v>
      </c>
    </row>
    <row r="12" ht="20.1" customHeight="1" outlineLevel="1" spans="1:8">
      <c r="A12" s="153" t="s">
        <v>35</v>
      </c>
      <c r="B12" s="14">
        <v>424</v>
      </c>
      <c r="C12" s="14">
        <v>424</v>
      </c>
      <c r="D12" s="183"/>
      <c r="E12" s="212">
        <f t="shared" si="0"/>
        <v>-100</v>
      </c>
      <c r="G12" s="213">
        <v>424</v>
      </c>
      <c r="H12" s="214">
        <f t="shared" si="1"/>
        <v>0</v>
      </c>
    </row>
    <row r="13" s="204" customFormat="1" ht="20.1" customHeight="1" spans="1:8">
      <c r="A13" s="211" t="s">
        <v>36</v>
      </c>
      <c r="B13" s="14">
        <f>SUM(B14,B22:B29)</f>
        <v>431970</v>
      </c>
      <c r="C13" s="14">
        <f>SUM(C14,C22:C29)</f>
        <v>459184</v>
      </c>
      <c r="D13" s="14">
        <f>SUM(D14,D22:D29)</f>
        <v>391643</v>
      </c>
      <c r="E13" s="212">
        <f t="shared" si="0"/>
        <v>-14.7</v>
      </c>
      <c r="G13" s="215">
        <f>G14+G22+G23+G24+G25+G26+G27+G29</f>
        <v>399841</v>
      </c>
      <c r="H13" s="214">
        <f t="shared" si="1"/>
        <v>59343</v>
      </c>
    </row>
    <row r="14" ht="20.1" customHeight="1" outlineLevel="1" spans="1:8">
      <c r="A14" s="160" t="s">
        <v>37</v>
      </c>
      <c r="B14" s="15">
        <f>SUM(B15:B21)</f>
        <v>386850</v>
      </c>
      <c r="C14" s="15">
        <f>SUM(C15:C21)</f>
        <v>351018</v>
      </c>
      <c r="D14" s="15">
        <f>SUM(D15:D21)</f>
        <v>360281</v>
      </c>
      <c r="E14" s="212">
        <f t="shared" si="0"/>
        <v>2.6</v>
      </c>
      <c r="G14" s="215">
        <v>341728</v>
      </c>
      <c r="H14" s="214">
        <f t="shared" si="1"/>
        <v>9290</v>
      </c>
    </row>
    <row r="15" ht="20.1" customHeight="1" outlineLevel="2" spans="1:8">
      <c r="A15" s="216" t="s">
        <v>38</v>
      </c>
      <c r="B15" s="15">
        <v>38000</v>
      </c>
      <c r="C15" s="15">
        <f>9114-5531</f>
        <v>3583</v>
      </c>
      <c r="D15" s="15">
        <v>34300</v>
      </c>
      <c r="E15" s="212">
        <f t="shared" si="0"/>
        <v>857.3</v>
      </c>
      <c r="G15" s="215">
        <v>9018</v>
      </c>
      <c r="H15" s="214">
        <f t="shared" si="1"/>
        <v>-5435</v>
      </c>
    </row>
    <row r="16" ht="20.1" customHeight="1" outlineLevel="2" spans="1:8">
      <c r="A16" s="216" t="s">
        <v>39</v>
      </c>
      <c r="B16" s="15">
        <v>350</v>
      </c>
      <c r="C16" s="15">
        <v>229</v>
      </c>
      <c r="D16" s="15">
        <v>1000</v>
      </c>
      <c r="E16" s="212">
        <f t="shared" si="0"/>
        <v>336.7</v>
      </c>
      <c r="G16" s="214">
        <v>159</v>
      </c>
      <c r="H16" s="214">
        <f t="shared" si="1"/>
        <v>70</v>
      </c>
    </row>
    <row r="17" ht="20.1" customHeight="1" outlineLevel="2" spans="1:8">
      <c r="A17" s="216" t="s">
        <v>40</v>
      </c>
      <c r="B17" s="15">
        <v>127000</v>
      </c>
      <c r="C17" s="15">
        <f>108937+52230</f>
        <v>161167</v>
      </c>
      <c r="D17" s="15">
        <v>100000</v>
      </c>
      <c r="E17" s="212">
        <f t="shared" si="0"/>
        <v>-38</v>
      </c>
      <c r="G17" s="215">
        <v>89124</v>
      </c>
      <c r="H17" s="214">
        <f t="shared" si="1"/>
        <v>72043</v>
      </c>
    </row>
    <row r="18" ht="20.1" customHeight="1" outlineLevel="2" spans="1:8">
      <c r="A18" s="216" t="s">
        <v>41</v>
      </c>
      <c r="B18" s="15">
        <v>181200</v>
      </c>
      <c r="C18" s="15">
        <f>223074-6500-1488-52230</f>
        <v>162856</v>
      </c>
      <c r="D18" s="15">
        <f>139805-1</f>
        <v>139804</v>
      </c>
      <c r="E18" s="212">
        <f t="shared" si="0"/>
        <v>-14.2</v>
      </c>
      <c r="G18" s="215">
        <v>220274</v>
      </c>
      <c r="H18" s="214">
        <f t="shared" si="1"/>
        <v>-57418</v>
      </c>
    </row>
    <row r="19" ht="20.1" customHeight="1" outlineLevel="2" spans="1:8">
      <c r="A19" s="216" t="s">
        <v>42</v>
      </c>
      <c r="B19" s="15"/>
      <c r="C19" s="15">
        <v>1326</v>
      </c>
      <c r="D19" s="15">
        <v>500</v>
      </c>
      <c r="E19" s="212">
        <f t="shared" si="0"/>
        <v>-62.3</v>
      </c>
      <c r="G19" s="215">
        <v>1326</v>
      </c>
      <c r="H19" s="214">
        <f t="shared" si="1"/>
        <v>0</v>
      </c>
    </row>
    <row r="20" ht="20.1" customHeight="1" outlineLevel="2" spans="1:8">
      <c r="A20" s="216" t="s">
        <v>43</v>
      </c>
      <c r="B20" s="15">
        <v>500</v>
      </c>
      <c r="C20" s="15">
        <v>487</v>
      </c>
      <c r="D20" s="15">
        <v>500</v>
      </c>
      <c r="E20" s="212">
        <f t="shared" si="0"/>
        <v>2.7</v>
      </c>
      <c r="G20" s="214">
        <v>457</v>
      </c>
      <c r="H20" s="214">
        <f t="shared" si="1"/>
        <v>30</v>
      </c>
    </row>
    <row r="21" ht="20.1" customHeight="1" outlineLevel="2" spans="1:8">
      <c r="A21" s="217" t="s">
        <v>44</v>
      </c>
      <c r="B21" s="15">
        <v>39800</v>
      </c>
      <c r="C21" s="15">
        <v>21370</v>
      </c>
      <c r="D21" s="15">
        <v>84177</v>
      </c>
      <c r="E21" s="212">
        <f t="shared" si="0"/>
        <v>293.9</v>
      </c>
      <c r="G21" s="215">
        <v>21370</v>
      </c>
      <c r="H21" s="214">
        <f t="shared" si="1"/>
        <v>0</v>
      </c>
    </row>
    <row r="22" ht="20.1" customHeight="1" outlineLevel="1" spans="1:8">
      <c r="A22" s="160" t="s">
        <v>45</v>
      </c>
      <c r="B22" s="15">
        <v>14260</v>
      </c>
      <c r="C22" s="15">
        <v>12032</v>
      </c>
      <c r="D22" s="15">
        <v>11994</v>
      </c>
      <c r="E22" s="212">
        <f t="shared" si="0"/>
        <v>-0.3</v>
      </c>
      <c r="G22" s="213"/>
      <c r="H22" s="214">
        <f t="shared" si="1"/>
        <v>12032</v>
      </c>
    </row>
    <row r="23" ht="20.1" customHeight="1" outlineLevel="1" spans="1:8">
      <c r="A23" s="160" t="s">
        <v>46</v>
      </c>
      <c r="B23" s="15">
        <v>1460</v>
      </c>
      <c r="C23" s="15">
        <v>1488</v>
      </c>
      <c r="D23" s="15">
        <v>1158</v>
      </c>
      <c r="E23" s="212">
        <f t="shared" si="0"/>
        <v>-22.2</v>
      </c>
      <c r="G23" s="213"/>
      <c r="H23" s="214">
        <f t="shared" si="1"/>
        <v>1488</v>
      </c>
    </row>
    <row r="24" ht="20.1" customHeight="1" outlineLevel="1" spans="1:8">
      <c r="A24" s="160" t="s">
        <v>47</v>
      </c>
      <c r="B24" s="15">
        <v>2700</v>
      </c>
      <c r="C24" s="15">
        <v>850</v>
      </c>
      <c r="D24" s="15">
        <v>1552</v>
      </c>
      <c r="E24" s="212">
        <f t="shared" si="0"/>
        <v>82.6</v>
      </c>
      <c r="G24" s="215">
        <v>2236</v>
      </c>
      <c r="H24" s="214">
        <f t="shared" si="1"/>
        <v>-1386</v>
      </c>
    </row>
    <row r="25" ht="20.1" customHeight="1" outlineLevel="1" spans="1:8">
      <c r="A25" s="160" t="s">
        <v>48</v>
      </c>
      <c r="B25" s="15">
        <v>4600</v>
      </c>
      <c r="C25" s="15">
        <v>4521</v>
      </c>
      <c r="D25" s="15">
        <v>5400</v>
      </c>
      <c r="E25" s="212">
        <f t="shared" si="0"/>
        <v>19.4</v>
      </c>
      <c r="G25" s="215">
        <v>4363</v>
      </c>
      <c r="H25" s="214">
        <f t="shared" si="1"/>
        <v>158</v>
      </c>
    </row>
    <row r="26" s="204" customFormat="1" ht="20.1" customHeight="1" spans="1:8">
      <c r="A26" s="160" t="s">
        <v>49</v>
      </c>
      <c r="B26" s="15"/>
      <c r="C26" s="15">
        <v>10200</v>
      </c>
      <c r="D26" s="15"/>
      <c r="E26" s="212">
        <f t="shared" si="0"/>
        <v>-100</v>
      </c>
      <c r="G26" s="214">
        <v>900</v>
      </c>
      <c r="H26" s="214">
        <f t="shared" si="1"/>
        <v>9300</v>
      </c>
    </row>
    <row r="27" s="204" customFormat="1" ht="20.1" customHeight="1" spans="1:8">
      <c r="A27" s="160" t="s">
        <v>50</v>
      </c>
      <c r="B27" s="15">
        <v>3500</v>
      </c>
      <c r="C27" s="15">
        <v>46900</v>
      </c>
      <c r="D27" s="15"/>
      <c r="E27" s="212">
        <f t="shared" si="0"/>
        <v>-100</v>
      </c>
      <c r="G27" s="215">
        <v>46900</v>
      </c>
      <c r="H27" s="214">
        <f t="shared" si="1"/>
        <v>0</v>
      </c>
    </row>
    <row r="28" s="204" customFormat="1" ht="20.1" customHeight="1" spans="1:8">
      <c r="A28" s="218" t="s">
        <v>51</v>
      </c>
      <c r="B28" s="14"/>
      <c r="C28" s="14">
        <v>24833</v>
      </c>
      <c r="D28" s="14"/>
      <c r="E28" s="212">
        <f t="shared" si="0"/>
        <v>-100</v>
      </c>
      <c r="G28" s="215"/>
      <c r="H28" s="214"/>
    </row>
    <row r="29" s="204" customFormat="1" ht="20.1" customHeight="1" spans="1:8">
      <c r="A29" s="160" t="s">
        <v>30</v>
      </c>
      <c r="B29" s="14">
        <v>18600</v>
      </c>
      <c r="C29" s="14">
        <v>7342</v>
      </c>
      <c r="D29" s="14">
        <v>11258</v>
      </c>
      <c r="E29" s="212">
        <f t="shared" si="0"/>
        <v>53.3</v>
      </c>
      <c r="G29" s="215">
        <v>3714</v>
      </c>
      <c r="H29" s="214">
        <f t="shared" ref="H29:H42" si="2">C29-G29</f>
        <v>3628</v>
      </c>
    </row>
    <row r="30" s="204" customFormat="1" ht="20.1" customHeight="1" spans="1:8">
      <c r="A30" s="211" t="s">
        <v>52</v>
      </c>
      <c r="B30" s="14">
        <f>B31+B32+B33</f>
        <v>93</v>
      </c>
      <c r="C30" s="14">
        <f>C31+C32+C33</f>
        <v>1735</v>
      </c>
      <c r="D30" s="14"/>
      <c r="E30" s="212">
        <f t="shared" si="0"/>
        <v>-100</v>
      </c>
      <c r="G30" s="215">
        <v>1272</v>
      </c>
      <c r="H30" s="214">
        <f t="shared" si="2"/>
        <v>463</v>
      </c>
    </row>
    <row r="31" ht="20.1" customHeight="1" outlineLevel="1" spans="1:8">
      <c r="A31" s="160" t="s">
        <v>53</v>
      </c>
      <c r="B31" s="15"/>
      <c r="C31" s="15">
        <v>410</v>
      </c>
      <c r="D31" s="14"/>
      <c r="E31" s="212">
        <f t="shared" si="0"/>
        <v>-100</v>
      </c>
      <c r="G31" s="214">
        <v>310</v>
      </c>
      <c r="H31" s="214">
        <f t="shared" si="2"/>
        <v>100</v>
      </c>
    </row>
    <row r="32" ht="20.1" customHeight="1" outlineLevel="1" spans="1:8">
      <c r="A32" s="160" t="s">
        <v>54</v>
      </c>
      <c r="B32" s="15"/>
      <c r="C32" s="15">
        <v>300</v>
      </c>
      <c r="D32" s="14"/>
      <c r="E32" s="212">
        <f t="shared" si="0"/>
        <v>-100</v>
      </c>
      <c r="G32" s="214">
        <v>300</v>
      </c>
      <c r="H32" s="214">
        <f t="shared" si="2"/>
        <v>0</v>
      </c>
    </row>
    <row r="33" ht="20.1" customHeight="1" outlineLevel="1" spans="1:13">
      <c r="A33" s="160" t="s">
        <v>55</v>
      </c>
      <c r="B33" s="15">
        <v>93</v>
      </c>
      <c r="C33" s="15">
        <v>1025</v>
      </c>
      <c r="D33" s="14"/>
      <c r="E33" s="212">
        <f t="shared" si="0"/>
        <v>-100</v>
      </c>
      <c r="G33" s="214">
        <v>693</v>
      </c>
      <c r="H33" s="214">
        <f t="shared" si="2"/>
        <v>332</v>
      </c>
    </row>
    <row r="34" s="204" customFormat="1" ht="20.1" customHeight="1" spans="1:13">
      <c r="A34" s="211" t="s">
        <v>56</v>
      </c>
      <c r="B34" s="14">
        <f>B35</f>
        <v>4447</v>
      </c>
      <c r="C34" s="14">
        <f>C35</f>
        <v>3363</v>
      </c>
      <c r="D34" s="14">
        <f>D35</f>
        <v>2317</v>
      </c>
      <c r="E34" s="212">
        <f t="shared" si="0"/>
        <v>-31.1</v>
      </c>
      <c r="G34" s="215">
        <v>2871</v>
      </c>
      <c r="H34" s="214">
        <f t="shared" si="2"/>
        <v>492</v>
      </c>
    </row>
    <row r="35" s="204" customFormat="1" ht="20.1" customHeight="1" spans="1:13">
      <c r="A35" s="160" t="s">
        <v>30</v>
      </c>
      <c r="B35" s="14">
        <v>4447</v>
      </c>
      <c r="C35" s="14">
        <v>3363</v>
      </c>
      <c r="D35" s="14">
        <v>2317</v>
      </c>
      <c r="E35" s="212">
        <f t="shared" si="0"/>
        <v>-31.1</v>
      </c>
      <c r="G35" s="215">
        <v>2856</v>
      </c>
      <c r="H35" s="214">
        <f t="shared" si="2"/>
        <v>507</v>
      </c>
    </row>
    <row r="36" s="204" customFormat="1" ht="20.1" customHeight="1" spans="1:13">
      <c r="A36" s="211" t="s">
        <v>57</v>
      </c>
      <c r="B36" s="14">
        <f>B37</f>
        <v>1348</v>
      </c>
      <c r="C36" s="14"/>
      <c r="D36" s="14">
        <f>D37</f>
        <v>225</v>
      </c>
      <c r="E36" s="212"/>
      <c r="G36" s="213"/>
      <c r="H36" s="214">
        <f t="shared" si="2"/>
        <v>0</v>
      </c>
    </row>
    <row r="37" s="204" customFormat="1" ht="20.1" customHeight="1" spans="1:13">
      <c r="A37" s="160" t="s">
        <v>30</v>
      </c>
      <c r="B37" s="14">
        <v>1348</v>
      </c>
      <c r="C37" s="14"/>
      <c r="D37" s="14">
        <v>225</v>
      </c>
      <c r="E37" s="212"/>
      <c r="G37" s="213"/>
      <c r="H37" s="214">
        <f t="shared" si="2"/>
        <v>0</v>
      </c>
    </row>
    <row r="38" s="204" customFormat="1" ht="20.1" customHeight="1" spans="1:13">
      <c r="A38" s="211" t="s">
        <v>58</v>
      </c>
      <c r="B38" s="14">
        <f>B39+B40</f>
        <v>372399</v>
      </c>
      <c r="C38" s="14">
        <f>C39+C40</f>
        <v>84830</v>
      </c>
      <c r="D38" s="14">
        <f>D39+D40</f>
        <v>88307</v>
      </c>
      <c r="E38" s="212">
        <f t="shared" si="0"/>
        <v>4.1</v>
      </c>
      <c r="G38" s="215">
        <v>294170</v>
      </c>
      <c r="H38" s="214">
        <f t="shared" si="2"/>
        <v>-209340</v>
      </c>
      <c r="K38" s="204">
        <v>84830</v>
      </c>
      <c r="L38" s="204">
        <v>81734</v>
      </c>
      <c r="M38" s="204">
        <v>218066</v>
      </c>
    </row>
    <row r="39" ht="20.1" customHeight="1" outlineLevel="1" spans="1:13">
      <c r="A39" s="219" t="s">
        <v>59</v>
      </c>
      <c r="B39" s="15">
        <v>370047</v>
      </c>
      <c r="C39" s="15">
        <f>299800-218066</f>
        <v>81734</v>
      </c>
      <c r="D39" s="15">
        <v>86847</v>
      </c>
      <c r="E39" s="212">
        <f t="shared" si="0"/>
        <v>6.3</v>
      </c>
      <c r="G39" s="215">
        <v>292133</v>
      </c>
      <c r="H39" s="214">
        <f t="shared" si="2"/>
        <v>-210399</v>
      </c>
    </row>
    <row r="40" ht="20.1" customHeight="1" outlineLevel="1" spans="1:13">
      <c r="A40" s="160" t="s">
        <v>60</v>
      </c>
      <c r="B40" s="15">
        <v>2352</v>
      </c>
      <c r="C40" s="15">
        <v>3096</v>
      </c>
      <c r="D40" s="15">
        <v>1460</v>
      </c>
      <c r="E40" s="212">
        <f t="shared" si="0"/>
        <v>-52.8</v>
      </c>
      <c r="G40" s="215">
        <v>2042</v>
      </c>
      <c r="H40" s="214">
        <f t="shared" si="2"/>
        <v>1054</v>
      </c>
    </row>
    <row r="41" s="204" customFormat="1" ht="20.1" customHeight="1" spans="1:13">
      <c r="A41" s="211" t="s">
        <v>61</v>
      </c>
      <c r="B41" s="14">
        <v>35833</v>
      </c>
      <c r="C41" s="14">
        <v>35833</v>
      </c>
      <c r="D41" s="14">
        <v>38971</v>
      </c>
      <c r="E41" s="212">
        <f t="shared" si="0"/>
        <v>8.8</v>
      </c>
      <c r="G41" s="215">
        <v>35833</v>
      </c>
      <c r="H41" s="214">
        <f t="shared" si="2"/>
        <v>0</v>
      </c>
    </row>
    <row r="42" s="204" customFormat="1" ht="20.1" customHeight="1" spans="1:13">
      <c r="A42" s="211" t="s">
        <v>62</v>
      </c>
      <c r="B42" s="14">
        <v>299</v>
      </c>
      <c r="C42" s="14">
        <v>283</v>
      </c>
      <c r="D42" s="14">
        <v>230</v>
      </c>
      <c r="E42" s="212">
        <f t="shared" si="0"/>
        <v>-18.7</v>
      </c>
      <c r="G42" s="214">
        <v>283</v>
      </c>
      <c r="H42" s="214">
        <f t="shared" si="2"/>
        <v>0</v>
      </c>
    </row>
  </sheetData>
  <sheetProtection sheet="1" objects="1"/>
  <mergeCells count="2">
    <mergeCell ref="A2:E2"/>
    <mergeCell ref="D3:E3"/>
  </mergeCells>
  <printOptions horizontalCentered="1"/>
  <pageMargins left="0.786805555555556" right="0.590277777777778" top="0.984027777777778" bottom="0.786805555555556" header="0.314583333333333" footer="0.314583333333333"/>
  <pageSetup paperSize="9" scale="93"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view="pageBreakPreview" zoomScaleNormal="100" topLeftCell="A6" workbookViewId="0">
      <selection activeCell="E29" sqref="E29"/>
    </sheetView>
  </sheetViews>
  <sheetFormatPr defaultColWidth="9" defaultRowHeight="14.25"/>
  <cols>
    <col min="1" max="1" width="37.375" customWidth="1"/>
    <col min="2" max="4" width="12" customWidth="1"/>
    <col min="5" max="5" width="37.375" customWidth="1"/>
    <col min="6" max="8" width="12" customWidth="1"/>
    <col min="11" max="11" width="12.625"/>
    <col min="13" max="13" width="9.375"/>
  </cols>
  <sheetData>
    <row r="1" s="118" customFormat="1" ht="21" customHeight="1" spans="1:11">
      <c r="A1" s="118" t="s">
        <v>63</v>
      </c>
    </row>
    <row r="2" s="119" customFormat="1" ht="27" customHeight="1" spans="1:11">
      <c r="A2" s="126" t="s">
        <v>64</v>
      </c>
      <c r="B2" s="126"/>
      <c r="C2" s="126"/>
      <c r="D2" s="126"/>
      <c r="E2" s="126"/>
      <c r="F2" s="126"/>
      <c r="G2" s="126"/>
      <c r="H2" s="126"/>
    </row>
    <row r="3" s="120" customFormat="1" ht="20.1" customHeight="1" spans="1:11">
      <c r="G3" s="127" t="s">
        <v>2</v>
      </c>
      <c r="H3" s="127"/>
    </row>
    <row r="4" s="169" customFormat="1" ht="20.1" customHeight="1" spans="1:11">
      <c r="A4" s="146" t="s">
        <v>65</v>
      </c>
      <c r="B4" s="146"/>
      <c r="C4" s="146"/>
      <c r="D4" s="172"/>
      <c r="E4" s="173" t="s">
        <v>66</v>
      </c>
      <c r="F4" s="146"/>
      <c r="G4" s="146"/>
      <c r="H4" s="146"/>
    </row>
    <row r="5" s="121" customFormat="1" ht="33" customHeight="1" spans="1:11">
      <c r="A5" s="146" t="s">
        <v>67</v>
      </c>
      <c r="B5" s="129" t="s">
        <v>4</v>
      </c>
      <c r="C5" s="129" t="s">
        <v>5</v>
      </c>
      <c r="D5" s="129" t="s">
        <v>6</v>
      </c>
      <c r="E5" s="189" t="s">
        <v>67</v>
      </c>
      <c r="F5" s="129" t="s">
        <v>4</v>
      </c>
      <c r="G5" s="129" t="s">
        <v>5</v>
      </c>
      <c r="H5" s="129" t="s">
        <v>6</v>
      </c>
    </row>
    <row r="6" s="121" customFormat="1" ht="20.1" customHeight="1" spans="1:11">
      <c r="A6" s="153" t="s">
        <v>68</v>
      </c>
      <c r="B6" s="14">
        <f>SUM(B7:B9,B15:B18)</f>
        <v>488711</v>
      </c>
      <c r="C6" s="14">
        <f>SUM(C7:C9,C15:C18)</f>
        <v>421661</v>
      </c>
      <c r="D6" s="14">
        <f>SUM(D7:D9,D15:D18)</f>
        <v>440506</v>
      </c>
      <c r="E6" s="190" t="s">
        <v>69</v>
      </c>
      <c r="F6" s="14">
        <f>SUM(F7:F10,F20:F25)</f>
        <v>849393</v>
      </c>
      <c r="G6" s="14">
        <f>SUM(G7:G10,G20:G25)</f>
        <v>588369</v>
      </c>
      <c r="H6" s="14">
        <f>SUM(H7:H10,H20:H25)</f>
        <v>521693</v>
      </c>
      <c r="K6" s="191">
        <f>G6/F6</f>
        <v>0.692693488173319</v>
      </c>
    </row>
    <row r="7" s="122" customFormat="1" ht="20.1" customHeight="1" spans="1:11">
      <c r="A7" s="160" t="s">
        <v>70</v>
      </c>
      <c r="B7" s="14">
        <f>表1!B6</f>
        <v>14260</v>
      </c>
      <c r="C7" s="14">
        <f>表1!C6</f>
        <v>12033</v>
      </c>
      <c r="D7" s="14">
        <f>表1!D6</f>
        <v>11994</v>
      </c>
      <c r="E7" s="192" t="s">
        <v>71</v>
      </c>
      <c r="F7" s="14">
        <f>表2!B6</f>
        <v>2580</v>
      </c>
      <c r="G7" s="14">
        <f>表2!C6</f>
        <v>2580</v>
      </c>
      <c r="H7" s="14"/>
    </row>
    <row r="8" s="122" customFormat="1" ht="20.1" customHeight="1" spans="1:11">
      <c r="A8" s="160" t="s">
        <v>72</v>
      </c>
      <c r="B8" s="14">
        <f>表1!B7</f>
        <v>1460</v>
      </c>
      <c r="C8" s="14">
        <f>表1!C7</f>
        <v>1491</v>
      </c>
      <c r="D8" s="14">
        <f>表1!D7</f>
        <v>1158</v>
      </c>
      <c r="E8" s="192" t="s">
        <v>73</v>
      </c>
      <c r="F8" s="14"/>
      <c r="G8" s="14">
        <f>表2!C8</f>
        <v>137</v>
      </c>
      <c r="H8" s="14"/>
    </row>
    <row r="9" s="122" customFormat="1" ht="20.1" customHeight="1" spans="1:11">
      <c r="A9" s="160" t="s">
        <v>74</v>
      </c>
      <c r="B9" s="14">
        <f>SUM(B10:B14)</f>
        <v>435833</v>
      </c>
      <c r="C9" s="14">
        <f>SUM(C10:C14)</f>
        <v>373950</v>
      </c>
      <c r="D9" s="14">
        <f>表1!D8</f>
        <v>365042</v>
      </c>
      <c r="E9" s="192" t="s">
        <v>75</v>
      </c>
      <c r="F9" s="14">
        <f>表2!B11</f>
        <v>424</v>
      </c>
      <c r="G9" s="14">
        <f>表2!C11</f>
        <v>424</v>
      </c>
      <c r="H9" s="14"/>
    </row>
    <row r="10" s="122" customFormat="1" ht="20.1" customHeight="1" spans="1:11">
      <c r="A10" s="160" t="s">
        <v>76</v>
      </c>
      <c r="B10" s="14">
        <f>表1!B9</f>
        <v>429715</v>
      </c>
      <c r="C10" s="14">
        <f>表1!C9</f>
        <v>368551</v>
      </c>
      <c r="D10" s="14">
        <f>表1!D9</f>
        <v>361842</v>
      </c>
      <c r="E10" s="192" t="s">
        <v>77</v>
      </c>
      <c r="F10" s="14">
        <f>SUM(F11:F19)</f>
        <v>431970</v>
      </c>
      <c r="G10" s="14">
        <f>SUM(G11:G19)</f>
        <v>459184</v>
      </c>
      <c r="H10" s="14">
        <f>SUM(H11:H19)</f>
        <v>391643</v>
      </c>
    </row>
    <row r="11" s="122" customFormat="1" ht="20.1" customHeight="1" spans="1:11">
      <c r="A11" s="160" t="s">
        <v>78</v>
      </c>
      <c r="B11" s="14">
        <f>表1!B10</f>
        <v>9200</v>
      </c>
      <c r="C11" s="14">
        <f>表1!C10</f>
        <v>797</v>
      </c>
      <c r="D11" s="14">
        <f>表1!D10</f>
        <v>4000</v>
      </c>
      <c r="E11" s="193" t="s">
        <v>37</v>
      </c>
      <c r="F11" s="14">
        <f>表2!B14</f>
        <v>386850</v>
      </c>
      <c r="G11" s="14">
        <f>表2!C14</f>
        <v>351018</v>
      </c>
      <c r="H11" s="14">
        <f>表2!D14</f>
        <v>360281</v>
      </c>
    </row>
    <row r="12" s="122" customFormat="1" ht="20.1" customHeight="1" spans="1:11">
      <c r="A12" s="160" t="s">
        <v>79</v>
      </c>
      <c r="B12" s="14"/>
      <c r="C12" s="14"/>
      <c r="D12" s="14">
        <f>表1!D11</f>
        <v>300</v>
      </c>
      <c r="E12" s="194" t="s">
        <v>45</v>
      </c>
      <c r="F12" s="14">
        <f>表2!B22</f>
        <v>14260</v>
      </c>
      <c r="G12" s="14">
        <f>表2!C22</f>
        <v>12032</v>
      </c>
      <c r="H12" s="14">
        <f>表2!D22</f>
        <v>11994</v>
      </c>
    </row>
    <row r="13" s="122" customFormat="1" ht="20.1" customHeight="1" spans="1:11">
      <c r="A13" s="195" t="s">
        <v>80</v>
      </c>
      <c r="B13" s="14">
        <f>表1!B12</f>
        <v>-3082</v>
      </c>
      <c r="C13" s="14">
        <f>表1!C12</f>
        <v>-1580</v>
      </c>
      <c r="D13" s="14">
        <f>表1!D12</f>
        <v>-1600</v>
      </c>
      <c r="E13" s="194" t="s">
        <v>46</v>
      </c>
      <c r="F13" s="14">
        <f>表2!B23</f>
        <v>1460</v>
      </c>
      <c r="G13" s="14">
        <f>表2!C23</f>
        <v>1488</v>
      </c>
      <c r="H13" s="14">
        <f>表2!D23</f>
        <v>1158</v>
      </c>
    </row>
    <row r="14" s="122" customFormat="1" ht="20.1" customHeight="1" spans="1:11">
      <c r="A14" s="160" t="s">
        <v>81</v>
      </c>
      <c r="B14" s="14"/>
      <c r="C14" s="14">
        <f>表1!C13</f>
        <v>6182</v>
      </c>
      <c r="D14" s="14">
        <f>表1!D13</f>
        <v>500</v>
      </c>
      <c r="E14" s="192" t="s">
        <v>47</v>
      </c>
      <c r="F14" s="14">
        <f>表2!B24</f>
        <v>2700</v>
      </c>
      <c r="G14" s="14">
        <f>表2!C24</f>
        <v>850</v>
      </c>
      <c r="H14" s="14">
        <v>1552</v>
      </c>
    </row>
    <row r="15" s="122" customFormat="1" ht="20.1" customHeight="1" spans="1:11">
      <c r="A15" s="160" t="s">
        <v>82</v>
      </c>
      <c r="B15" s="14">
        <f>表1!B14</f>
        <v>800</v>
      </c>
      <c r="C15" s="14">
        <f>表1!C14</f>
        <v>852</v>
      </c>
      <c r="D15" s="14">
        <f>表2!D24</f>
        <v>1552</v>
      </c>
      <c r="E15" s="192" t="s">
        <v>48</v>
      </c>
      <c r="F15" s="14">
        <f>表2!B25</f>
        <v>4600</v>
      </c>
      <c r="G15" s="14">
        <f>表2!C25</f>
        <v>4521</v>
      </c>
      <c r="H15" s="14">
        <f>表2!D25</f>
        <v>5400</v>
      </c>
    </row>
    <row r="16" s="122" customFormat="1" ht="20.1" customHeight="1" spans="1:11">
      <c r="A16" s="160" t="s">
        <v>83</v>
      </c>
      <c r="B16" s="14">
        <f>表1!B15</f>
        <v>4600</v>
      </c>
      <c r="C16" s="14">
        <f>表1!C15</f>
        <v>4631</v>
      </c>
      <c r="D16" s="14">
        <f>表1!D15</f>
        <v>3900</v>
      </c>
      <c r="E16" s="192" t="s">
        <v>49</v>
      </c>
      <c r="F16" s="14"/>
      <c r="G16" s="14">
        <f>表2!C26</f>
        <v>10200</v>
      </c>
      <c r="H16" s="14"/>
    </row>
    <row r="17" s="122" customFormat="1" ht="20.1" customHeight="1" spans="1:8">
      <c r="A17" s="160" t="s">
        <v>84</v>
      </c>
      <c r="B17" s="14"/>
      <c r="C17" s="14"/>
      <c r="D17" s="14"/>
      <c r="E17" s="196" t="s">
        <v>50</v>
      </c>
      <c r="F17" s="14">
        <f>表2!B27</f>
        <v>3500</v>
      </c>
      <c r="G17" s="14">
        <f>表2!C27</f>
        <v>46900</v>
      </c>
      <c r="H17" s="14"/>
    </row>
    <row r="18" s="122" customFormat="1" ht="20.1" customHeight="1" spans="1:8">
      <c r="A18" s="160" t="s">
        <v>85</v>
      </c>
      <c r="B18" s="14">
        <f>表1!B17</f>
        <v>31758</v>
      </c>
      <c r="C18" s="14">
        <f>表1!C17</f>
        <v>28704</v>
      </c>
      <c r="D18" s="14">
        <f>表1!D17</f>
        <v>56860</v>
      </c>
      <c r="E18" s="196" t="s">
        <v>51</v>
      </c>
      <c r="F18" s="14"/>
      <c r="G18" s="14">
        <v>24833</v>
      </c>
      <c r="H18" s="14"/>
    </row>
    <row r="19" s="122" customFormat="1" ht="20.1" customHeight="1" spans="1:8">
      <c r="A19" s="153" t="s">
        <v>86</v>
      </c>
      <c r="B19" s="14">
        <f>SUM(B20:B23)</f>
        <v>446525</v>
      </c>
      <c r="C19" s="14">
        <f>SUM(C20:C23)</f>
        <v>520841</v>
      </c>
      <c r="D19" s="14">
        <f>SUM(D20:D23)</f>
        <v>126372</v>
      </c>
      <c r="E19" s="196" t="s">
        <v>30</v>
      </c>
      <c r="F19" s="14">
        <f>表2!B29</f>
        <v>18600</v>
      </c>
      <c r="G19" s="14">
        <f>表2!C29</f>
        <v>7342</v>
      </c>
      <c r="H19" s="14">
        <f>表2!D29</f>
        <v>11258</v>
      </c>
    </row>
    <row r="20" s="122" customFormat="1" ht="20.1" customHeight="1" spans="1:8">
      <c r="A20" s="160" t="s">
        <v>87</v>
      </c>
      <c r="B20" s="14">
        <v>19747</v>
      </c>
      <c r="C20" s="14">
        <v>20541</v>
      </c>
      <c r="D20" s="14">
        <v>1500</v>
      </c>
      <c r="E20" s="192" t="s">
        <v>88</v>
      </c>
      <c r="F20" s="14">
        <f>表2!B30</f>
        <v>93</v>
      </c>
      <c r="G20" s="14">
        <f>表2!C30</f>
        <v>1735</v>
      </c>
      <c r="H20" s="14"/>
    </row>
    <row r="21" s="122" customFormat="1" ht="20.1" customHeight="1" spans="1:8">
      <c r="A21" s="160" t="s">
        <v>89</v>
      </c>
      <c r="B21" s="14">
        <v>272659</v>
      </c>
      <c r="C21" s="14">
        <v>342859</v>
      </c>
      <c r="D21" s="14">
        <v>16138</v>
      </c>
      <c r="E21" s="192" t="s">
        <v>90</v>
      </c>
      <c r="F21" s="14">
        <f>表2!B34</f>
        <v>4447</v>
      </c>
      <c r="G21" s="14">
        <f>表2!C34</f>
        <v>3363</v>
      </c>
      <c r="H21" s="14">
        <f>表2!D34</f>
        <v>2317</v>
      </c>
    </row>
    <row r="22" s="122" customFormat="1" ht="20.1" customHeight="1" spans="1:8">
      <c r="A22" s="160" t="s">
        <v>91</v>
      </c>
      <c r="B22" s="14">
        <v>1900</v>
      </c>
      <c r="C22" s="14">
        <f>5222</f>
        <v>5222</v>
      </c>
      <c r="D22" s="14"/>
      <c r="E22" s="192" t="s">
        <v>92</v>
      </c>
      <c r="F22" s="14">
        <f>表2!B36</f>
        <v>1348</v>
      </c>
      <c r="G22" s="14"/>
      <c r="H22" s="14">
        <f>表2!D36</f>
        <v>225</v>
      </c>
    </row>
    <row r="23" s="122" customFormat="1" ht="20.1" customHeight="1" spans="1:8">
      <c r="A23" s="160" t="s">
        <v>93</v>
      </c>
      <c r="B23" s="14">
        <v>152219</v>
      </c>
      <c r="C23" s="14">
        <v>152219</v>
      </c>
      <c r="D23" s="14">
        <f>G30</f>
        <v>108734</v>
      </c>
      <c r="E23" s="192" t="s">
        <v>94</v>
      </c>
      <c r="F23" s="14">
        <f>表2!B38</f>
        <v>372399</v>
      </c>
      <c r="G23" s="14">
        <f>表2!C38</f>
        <v>84830</v>
      </c>
      <c r="H23" s="14">
        <f>表2!D38</f>
        <v>88307</v>
      </c>
    </row>
    <row r="24" s="122" customFormat="1" ht="20.1" customHeight="1" spans="1:8">
      <c r="A24" s="153"/>
      <c r="B24" s="153"/>
      <c r="C24" s="153"/>
      <c r="E24" s="192" t="s">
        <v>95</v>
      </c>
      <c r="F24" s="14">
        <f>表2!B41</f>
        <v>35833</v>
      </c>
      <c r="G24" s="14">
        <f>表2!C41</f>
        <v>35833</v>
      </c>
      <c r="H24" s="14">
        <f>表2!D41</f>
        <v>38971</v>
      </c>
    </row>
    <row r="25" s="122" customFormat="1" ht="20.1" customHeight="1" spans="1:8">
      <c r="A25" s="160"/>
      <c r="B25" s="14"/>
      <c r="C25" s="14"/>
      <c r="D25" s="14"/>
      <c r="E25" s="192" t="s">
        <v>96</v>
      </c>
      <c r="F25" s="14">
        <f>表2!B42</f>
        <v>299</v>
      </c>
      <c r="G25" s="14">
        <f>表2!C42</f>
        <v>283</v>
      </c>
      <c r="H25" s="14">
        <f>表2!D42</f>
        <v>230</v>
      </c>
    </row>
    <row r="26" s="122" customFormat="1" ht="20.1" customHeight="1" spans="1:8">
      <c r="A26" s="160"/>
      <c r="B26" s="14"/>
      <c r="C26" s="14"/>
      <c r="D26" s="14"/>
      <c r="E26" s="190" t="s">
        <v>97</v>
      </c>
      <c r="F26" s="14">
        <f>SUM(F27:F30)</f>
        <v>85843</v>
      </c>
      <c r="G26" s="14">
        <f>SUM(G27:G30)</f>
        <v>354133</v>
      </c>
      <c r="H26" s="14">
        <f t="shared" ref="F26:H26" si="0">SUM(H27:H30)</f>
        <v>45185</v>
      </c>
    </row>
    <row r="27" s="122" customFormat="1" ht="20.1" customHeight="1" spans="1:8">
      <c r="A27" s="160"/>
      <c r="B27" s="14"/>
      <c r="C27" s="14"/>
      <c r="D27" s="14"/>
      <c r="E27" s="192" t="s">
        <v>98</v>
      </c>
      <c r="F27" s="14"/>
      <c r="G27" s="14"/>
      <c r="H27" s="14"/>
    </row>
    <row r="28" s="122" customFormat="1" ht="20.1" customHeight="1" spans="1:8">
      <c r="A28" s="160"/>
      <c r="B28" s="14"/>
      <c r="C28" s="14"/>
      <c r="D28" s="14"/>
      <c r="E28" s="192" t="s">
        <v>99</v>
      </c>
      <c r="F28" s="14">
        <v>52166</v>
      </c>
      <c r="G28" s="14">
        <f>52166+218066-24833</f>
        <v>245399</v>
      </c>
      <c r="H28" s="14">
        <v>37438</v>
      </c>
    </row>
    <row r="29" s="122" customFormat="1" ht="20.1" customHeight="1" spans="1:8">
      <c r="A29" s="160"/>
      <c r="B29" s="14"/>
      <c r="C29" s="14"/>
      <c r="D29" s="14"/>
      <c r="E29" s="192" t="s">
        <v>100</v>
      </c>
      <c r="F29" s="14">
        <v>23867</v>
      </c>
      <c r="G29" s="14"/>
      <c r="H29" s="14">
        <v>1120</v>
      </c>
    </row>
    <row r="30" s="122" customFormat="1" ht="20.1" customHeight="1" spans="1:8">
      <c r="A30" s="160"/>
      <c r="B30" s="197"/>
      <c r="C30" s="197"/>
      <c r="D30" s="197"/>
      <c r="E30" s="192" t="s">
        <v>101</v>
      </c>
      <c r="F30" s="14">
        <v>9810</v>
      </c>
      <c r="G30" s="14">
        <f>'2026年政府性基金节余明细（非打印表） (2)'!AV4</f>
        <v>108734</v>
      </c>
      <c r="H30" s="14">
        <f>'2026年政府性基金节余明细（非打印表） (2)'!BA4</f>
        <v>6627</v>
      </c>
    </row>
    <row r="31" s="122" customFormat="1" ht="20.1" customHeight="1" spans="1:8">
      <c r="A31" s="185" t="s">
        <v>102</v>
      </c>
      <c r="B31" s="198">
        <f>B6+B19</f>
        <v>935236</v>
      </c>
      <c r="C31" s="198">
        <f>C6+C19</f>
        <v>942502</v>
      </c>
      <c r="D31" s="199">
        <f>D6+D19</f>
        <v>566878</v>
      </c>
      <c r="E31" s="200" t="s">
        <v>103</v>
      </c>
      <c r="F31" s="198">
        <f>F6+F26</f>
        <v>935236</v>
      </c>
      <c r="G31" s="198">
        <f>G6+G26</f>
        <v>942502</v>
      </c>
      <c r="H31" s="198">
        <f>H6+H26</f>
        <v>566878</v>
      </c>
    </row>
    <row r="32" s="122" customFormat="1" ht="20.1" customHeight="1" spans="1:8">
      <c r="A32"/>
      <c r="B32"/>
      <c r="C32"/>
      <c r="D32"/>
      <c r="E32"/>
      <c r="F32" s="201">
        <f>B31-F31</f>
        <v>0</v>
      </c>
      <c r="G32" s="202">
        <f>C31-G31</f>
        <v>0</v>
      </c>
      <c r="H32" s="202">
        <f>D31-H31</f>
        <v>0</v>
      </c>
    </row>
    <row r="33" s="122" customFormat="1" ht="20.1" customHeight="1" spans="1:8">
      <c r="A33"/>
      <c r="B33"/>
      <c r="C33"/>
      <c r="D33"/>
      <c r="E33"/>
      <c r="F33"/>
      <c r="G33"/>
      <c r="H33"/>
    </row>
    <row r="34" s="122" customFormat="1" ht="20.1" customHeight="1" spans="1:8">
      <c r="A34"/>
      <c r="B34"/>
      <c r="C34"/>
      <c r="D34"/>
      <c r="E34"/>
      <c r="F34"/>
      <c r="G34"/>
      <c r="H34"/>
    </row>
  </sheetData>
  <sheetProtection sheet="1" objects="1"/>
  <mergeCells count="4">
    <mergeCell ref="A2:H2"/>
    <mergeCell ref="G3:H3"/>
    <mergeCell ref="A4:D4"/>
    <mergeCell ref="E4:H4"/>
  </mergeCells>
  <printOptions horizontalCentered="1"/>
  <pageMargins left="0.786805555555556" right="0.590277777777778" top="0.984027777777778" bottom="0.786805555555556" header="0.314583333333333" footer="0.314583333333333"/>
  <pageSetup paperSize="9" scale="82" orientation="landscape" horizontalDpi="600"/>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opLeftCell="A4" workbookViewId="0">
      <selection activeCell="C22" sqref="C22"/>
    </sheetView>
  </sheetViews>
  <sheetFormatPr defaultColWidth="9" defaultRowHeight="14.25" outlineLevelCol="7"/>
  <cols>
    <col min="1" max="1" width="33.375" customWidth="1"/>
    <col min="2" max="2" width="10.625" customWidth="1"/>
    <col min="3" max="4" width="9.625" customWidth="1"/>
    <col min="5" max="5" width="35.625" customWidth="1"/>
    <col min="6" max="6" width="10.625" customWidth="1"/>
    <col min="7" max="8" width="9.625" customWidth="1"/>
  </cols>
  <sheetData>
    <row r="1" s="118" customFormat="1" ht="24.95" customHeight="1" spans="1:8">
      <c r="A1" s="118" t="s">
        <v>63</v>
      </c>
    </row>
    <row r="2" s="119" customFormat="1" ht="30" customHeight="1" spans="1:8">
      <c r="A2" s="126" t="s">
        <v>104</v>
      </c>
      <c r="B2" s="126"/>
      <c r="C2" s="126"/>
      <c r="D2" s="126"/>
      <c r="E2" s="126"/>
      <c r="F2" s="126"/>
      <c r="G2" s="126"/>
      <c r="H2" s="126"/>
    </row>
    <row r="3" s="120" customFormat="1" ht="20.1" customHeight="1" spans="1:8">
      <c r="H3" s="171" t="s">
        <v>2</v>
      </c>
    </row>
    <row r="4" s="169" customFormat="1" ht="20.1" customHeight="1" spans="1:8">
      <c r="A4" s="146" t="s">
        <v>65</v>
      </c>
      <c r="B4" s="146"/>
      <c r="C4" s="146"/>
      <c r="D4" s="172"/>
      <c r="E4" s="173" t="s">
        <v>105</v>
      </c>
      <c r="F4" s="146"/>
      <c r="G4" s="146"/>
      <c r="H4" s="146"/>
    </row>
    <row r="5" s="121" customFormat="1" ht="35.1" customHeight="1" spans="1:8">
      <c r="A5" s="146" t="s">
        <v>67</v>
      </c>
      <c r="B5" s="147" t="s">
        <v>106</v>
      </c>
      <c r="C5" s="147" t="s">
        <v>107</v>
      </c>
      <c r="D5" s="174" t="s">
        <v>108</v>
      </c>
      <c r="E5" s="173" t="s">
        <v>67</v>
      </c>
      <c r="F5" s="147" t="s">
        <v>106</v>
      </c>
      <c r="G5" s="147" t="s">
        <v>107</v>
      </c>
      <c r="H5" s="147" t="s">
        <v>108</v>
      </c>
    </row>
    <row r="6" s="121" customFormat="1" ht="20.1" customHeight="1" spans="1:8">
      <c r="A6" s="153" t="s">
        <v>68</v>
      </c>
      <c r="B6" s="175">
        <f>SUM(B7:B9,B15:B18)</f>
        <v>466100</v>
      </c>
      <c r="C6" s="175">
        <f>SUM(C7:C9,C15:C18)</f>
        <v>561492</v>
      </c>
      <c r="D6" s="176">
        <f>SUM(D7:D9,D15:D18)</f>
        <v>599969</v>
      </c>
      <c r="E6" s="177" t="s">
        <v>69</v>
      </c>
      <c r="F6" s="175">
        <f>SUM(F7:F9,F13:F16)</f>
        <v>350289</v>
      </c>
      <c r="G6" s="175">
        <f>SUM(G7:G9,G13:G16)</f>
        <v>437611</v>
      </c>
      <c r="H6" s="175">
        <f>SUM(H7:H9,H13:H16)</f>
        <v>398973</v>
      </c>
    </row>
    <row r="7" s="122" customFormat="1" ht="20.1" customHeight="1" spans="1:8">
      <c r="A7" s="160" t="s">
        <v>70</v>
      </c>
      <c r="B7" s="13">
        <v>8772</v>
      </c>
      <c r="C7" s="13"/>
      <c r="D7" s="62">
        <v>8000</v>
      </c>
      <c r="E7" s="178" t="s">
        <v>109</v>
      </c>
      <c r="F7" s="13">
        <v>117</v>
      </c>
      <c r="G7" s="13">
        <v>117</v>
      </c>
      <c r="H7" s="13">
        <v>11</v>
      </c>
    </row>
    <row r="8" s="122" customFormat="1" ht="20.1" customHeight="1" spans="1:8">
      <c r="A8" s="160" t="s">
        <v>72</v>
      </c>
      <c r="B8" s="13">
        <v>1523</v>
      </c>
      <c r="C8" s="13">
        <v>2785</v>
      </c>
      <c r="D8" s="62">
        <v>2000</v>
      </c>
      <c r="E8" s="178" t="s">
        <v>110</v>
      </c>
      <c r="F8" s="13">
        <v>1242</v>
      </c>
      <c r="G8" s="13">
        <v>581</v>
      </c>
      <c r="H8" s="13">
        <v>622</v>
      </c>
    </row>
    <row r="9" s="122" customFormat="1" ht="20.1" customHeight="1" spans="1:8">
      <c r="A9" s="160" t="s">
        <v>74</v>
      </c>
      <c r="B9" s="13">
        <f>SUM(B10:B14)</f>
        <v>439963</v>
      </c>
      <c r="C9" s="13">
        <f>SUM(C10:C14)</f>
        <v>538448</v>
      </c>
      <c r="D9" s="62">
        <f>SUM(D10:D14)</f>
        <v>573000</v>
      </c>
      <c r="E9" s="178" t="s">
        <v>111</v>
      </c>
      <c r="F9" s="13">
        <f>SUM(F10:F12)</f>
        <v>319954</v>
      </c>
      <c r="G9" s="13">
        <f>SUM(G10:G12)</f>
        <v>370075</v>
      </c>
      <c r="H9" s="13">
        <f>SUM(H10:H12)</f>
        <v>373984</v>
      </c>
    </row>
    <row r="10" s="122" customFormat="1" ht="20.1" customHeight="1" spans="1:8">
      <c r="A10" s="160" t="s">
        <v>76</v>
      </c>
      <c r="B10" s="13">
        <v>306004</v>
      </c>
      <c r="C10" s="13">
        <v>519741</v>
      </c>
      <c r="D10" s="62">
        <f>529000+50000</f>
        <v>579000</v>
      </c>
      <c r="E10" s="179" t="s">
        <v>37</v>
      </c>
      <c r="F10" s="13">
        <v>308133</v>
      </c>
      <c r="G10" s="13">
        <v>365088</v>
      </c>
      <c r="H10" s="13">
        <v>363748</v>
      </c>
    </row>
    <row r="11" s="122" customFormat="1" ht="20.1" customHeight="1" spans="1:8">
      <c r="A11" s="160" t="s">
        <v>78</v>
      </c>
      <c r="B11" s="13">
        <v>49982</v>
      </c>
      <c r="C11" s="13"/>
      <c r="D11" s="62"/>
      <c r="E11" s="180" t="s">
        <v>47</v>
      </c>
      <c r="F11" s="13">
        <v>8221</v>
      </c>
      <c r="G11" s="13">
        <v>1510</v>
      </c>
      <c r="H11" s="13">
        <v>5604</v>
      </c>
    </row>
    <row r="12" s="122" customFormat="1" ht="20.1" customHeight="1" spans="1:8">
      <c r="A12" s="160" t="s">
        <v>79</v>
      </c>
      <c r="B12" s="13">
        <v>53316</v>
      </c>
      <c r="C12" s="13"/>
      <c r="D12" s="62"/>
      <c r="E12" s="180" t="s">
        <v>48</v>
      </c>
      <c r="F12" s="13">
        <v>3600</v>
      </c>
      <c r="G12" s="13">
        <v>3477</v>
      </c>
      <c r="H12" s="13">
        <v>4632</v>
      </c>
    </row>
    <row r="13" s="122" customFormat="1" ht="20.1" customHeight="1" spans="1:8">
      <c r="A13" s="181" t="s">
        <v>80</v>
      </c>
      <c r="B13" s="13"/>
      <c r="C13" s="13">
        <v>-4956</v>
      </c>
      <c r="D13" s="62">
        <v>-8000</v>
      </c>
      <c r="E13" s="178" t="s">
        <v>112</v>
      </c>
      <c r="F13" s="13">
        <v>1400</v>
      </c>
      <c r="G13" s="13">
        <v>886</v>
      </c>
      <c r="H13" s="13">
        <v>514</v>
      </c>
    </row>
    <row r="14" s="122" customFormat="1" ht="20.1" customHeight="1" spans="1:8">
      <c r="A14" s="160" t="s">
        <v>81</v>
      </c>
      <c r="B14" s="13">
        <v>30661</v>
      </c>
      <c r="C14" s="13">
        <v>23663</v>
      </c>
      <c r="D14" s="62">
        <v>2000</v>
      </c>
      <c r="E14" s="178" t="s">
        <v>113</v>
      </c>
      <c r="F14" s="13">
        <v>17076</v>
      </c>
      <c r="G14" s="13">
        <v>55483</v>
      </c>
      <c r="H14" s="13">
        <v>11581</v>
      </c>
    </row>
    <row r="15" s="122" customFormat="1" ht="20.1" customHeight="1" spans="1:8">
      <c r="A15" s="160" t="s">
        <v>82</v>
      </c>
      <c r="B15" s="13">
        <v>10000</v>
      </c>
      <c r="C15" s="13">
        <v>11333</v>
      </c>
      <c r="D15" s="62">
        <v>8000</v>
      </c>
      <c r="E15" s="178" t="s">
        <v>114</v>
      </c>
      <c r="F15" s="13">
        <v>10400</v>
      </c>
      <c r="G15" s="13">
        <v>10405</v>
      </c>
      <c r="H15" s="13">
        <v>12161</v>
      </c>
    </row>
    <row r="16" s="122" customFormat="1" ht="20.1" customHeight="1" spans="1:8">
      <c r="A16" s="160" t="s">
        <v>83</v>
      </c>
      <c r="B16" s="13">
        <v>3600</v>
      </c>
      <c r="C16" s="13">
        <v>6900</v>
      </c>
      <c r="D16" s="62">
        <v>4632</v>
      </c>
      <c r="E16" s="178" t="s">
        <v>115</v>
      </c>
      <c r="F16" s="13">
        <v>100</v>
      </c>
      <c r="G16" s="13">
        <v>64</v>
      </c>
      <c r="H16" s="13">
        <v>100</v>
      </c>
    </row>
    <row r="17" s="122" customFormat="1" ht="20.1" customHeight="1" spans="1:8">
      <c r="A17" s="160" t="s">
        <v>84</v>
      </c>
      <c r="B17" s="13"/>
      <c r="C17" s="13"/>
      <c r="D17" s="62"/>
      <c r="E17" s="177" t="s">
        <v>97</v>
      </c>
      <c r="F17" s="13">
        <f>SUM(F18:F21)</f>
        <v>155280</v>
      </c>
      <c r="G17" s="13">
        <f>SUM(G18:G21)</f>
        <v>214050</v>
      </c>
      <c r="H17" s="13">
        <f>SUM(H18:H21)</f>
        <v>305322</v>
      </c>
    </row>
    <row r="18" s="122" customFormat="1" ht="20.1" customHeight="1" spans="1:8">
      <c r="A18" s="160" t="s">
        <v>85</v>
      </c>
      <c r="B18" s="13">
        <v>2242</v>
      </c>
      <c r="C18" s="13">
        <v>2026</v>
      </c>
      <c r="D18" s="62">
        <v>4337</v>
      </c>
      <c r="E18" s="178" t="s">
        <v>98</v>
      </c>
      <c r="F18" s="13"/>
      <c r="G18" s="13"/>
      <c r="H18" s="13"/>
    </row>
    <row r="19" s="122" customFormat="1" ht="20.1" customHeight="1" spans="1:8">
      <c r="A19" s="153" t="s">
        <v>86</v>
      </c>
      <c r="B19" s="13">
        <f>SUM(B20:B23)</f>
        <v>39469</v>
      </c>
      <c r="C19" s="13">
        <f>SUM(C20:C23)</f>
        <v>90169</v>
      </c>
      <c r="D19" s="62">
        <f>SUM(D20:D23)</f>
        <v>104326</v>
      </c>
      <c r="E19" s="178" t="s">
        <v>99</v>
      </c>
      <c r="F19" s="13">
        <v>9890</v>
      </c>
      <c r="G19" s="13">
        <v>10390</v>
      </c>
      <c r="H19" s="13">
        <v>74605</v>
      </c>
    </row>
    <row r="20" s="122" customFormat="1" ht="20.1" customHeight="1" spans="1:8">
      <c r="A20" s="160" t="s">
        <v>87</v>
      </c>
      <c r="B20" s="13">
        <v>3730</v>
      </c>
      <c r="C20" s="14">
        <f>3847-102</f>
        <v>3745</v>
      </c>
      <c r="D20" s="62"/>
      <c r="E20" s="178" t="s">
        <v>100</v>
      </c>
      <c r="F20" s="13">
        <v>138406</v>
      </c>
      <c r="G20" s="13">
        <v>181863</v>
      </c>
      <c r="H20" s="13">
        <f>160179+50000</f>
        <v>210179</v>
      </c>
    </row>
    <row r="21" s="122" customFormat="1" ht="20.1" customHeight="1" spans="1:8">
      <c r="A21" s="160" t="s">
        <v>89</v>
      </c>
      <c r="B21" s="13">
        <v>13200</v>
      </c>
      <c r="C21" s="13">
        <v>63200</v>
      </c>
      <c r="D21" s="62">
        <v>32375</v>
      </c>
      <c r="E21" s="178" t="s">
        <v>101</v>
      </c>
      <c r="F21" s="13">
        <v>6984</v>
      </c>
      <c r="G21" s="13">
        <v>21797</v>
      </c>
      <c r="H21" s="13">
        <v>20538</v>
      </c>
    </row>
    <row r="22" s="122" customFormat="1" ht="20.1" customHeight="1" spans="1:8">
      <c r="A22" s="160" t="s">
        <v>91</v>
      </c>
      <c r="B22" s="13">
        <v>18148</v>
      </c>
      <c r="C22" s="110">
        <v>18833</v>
      </c>
      <c r="D22" s="62">
        <v>50154</v>
      </c>
      <c r="E22" s="182" t="s">
        <v>116</v>
      </c>
      <c r="F22" s="13"/>
      <c r="G22" s="13"/>
      <c r="H22" s="13"/>
    </row>
    <row r="23" s="122" customFormat="1" ht="20.1" customHeight="1" spans="1:8">
      <c r="A23" s="160" t="s">
        <v>93</v>
      </c>
      <c r="B23" s="13">
        <v>4391</v>
      </c>
      <c r="C23" s="13">
        <v>4391</v>
      </c>
      <c r="D23" s="62">
        <v>21797</v>
      </c>
      <c r="E23" s="182" t="s">
        <v>117</v>
      </c>
      <c r="F23" s="183"/>
      <c r="G23" s="183"/>
      <c r="H23" s="183"/>
    </row>
    <row r="24" s="122" customFormat="1" ht="20.1" customHeight="1" spans="1:8">
      <c r="A24" s="160"/>
      <c r="B24" s="13"/>
      <c r="C24" s="13"/>
      <c r="D24" s="62"/>
      <c r="E24" s="184"/>
      <c r="F24" s="183"/>
      <c r="G24" s="183"/>
      <c r="H24" s="183"/>
    </row>
    <row r="25" s="170" customFormat="1" ht="20.1" customHeight="1" spans="1:8">
      <c r="A25" s="185" t="s">
        <v>102</v>
      </c>
      <c r="B25" s="186">
        <f>B6+B19</f>
        <v>505569</v>
      </c>
      <c r="C25" s="186">
        <f>C6+C19</f>
        <v>651661</v>
      </c>
      <c r="D25" s="187">
        <f>D6+D19</f>
        <v>704295</v>
      </c>
      <c r="E25" s="188" t="s">
        <v>103</v>
      </c>
      <c r="F25" s="186">
        <f>F6+F17</f>
        <v>505569</v>
      </c>
      <c r="G25" s="186">
        <f>G6+G17</f>
        <v>651661</v>
      </c>
      <c r="H25" s="186">
        <f>H6+H17</f>
        <v>704295</v>
      </c>
    </row>
    <row r="26" s="122" customFormat="1" ht="20.1" customHeight="1" spans="1:8">
      <c r="A26"/>
      <c r="B26"/>
      <c r="C26"/>
      <c r="D26"/>
      <c r="E26"/>
      <c r="F26"/>
      <c r="G26"/>
      <c r="H26"/>
    </row>
    <row r="27" s="122" customFormat="1" ht="20.1" customHeight="1" spans="1:8">
      <c r="A27"/>
      <c r="B27"/>
      <c r="C27"/>
      <c r="D27"/>
      <c r="E27"/>
      <c r="F27"/>
      <c r="G27"/>
      <c r="H27"/>
    </row>
    <row r="28" s="122" customFormat="1" ht="20.1" customHeight="1" spans="1:8">
      <c r="A28"/>
      <c r="B28"/>
      <c r="C28"/>
      <c r="D28"/>
      <c r="E28"/>
      <c r="F28"/>
      <c r="G28"/>
      <c r="H28"/>
    </row>
    <row r="29" s="122" customFormat="1" ht="20.1" customHeight="1" spans="1:8">
      <c r="A29"/>
      <c r="B29"/>
      <c r="C29"/>
      <c r="D29"/>
      <c r="E29"/>
      <c r="F29"/>
      <c r="G29"/>
      <c r="H29"/>
    </row>
    <row r="30" s="122" customFormat="1" ht="20.1" customHeight="1" spans="1:8">
      <c r="A30"/>
      <c r="B30"/>
      <c r="C30"/>
      <c r="D30"/>
      <c r="E30"/>
      <c r="F30"/>
      <c r="G30"/>
      <c r="H30"/>
    </row>
    <row r="31" s="122" customFormat="1" ht="20.1" customHeight="1" spans="1:8">
      <c r="A31"/>
      <c r="B31"/>
      <c r="C31"/>
      <c r="D31"/>
      <c r="E31"/>
      <c r="F31"/>
      <c r="G31"/>
      <c r="H31"/>
    </row>
    <row r="32" s="122" customFormat="1" ht="20.1" customHeight="1" spans="1:8">
      <c r="A32"/>
      <c r="B32"/>
      <c r="C32"/>
      <c r="D32"/>
      <c r="E32"/>
      <c r="F32"/>
      <c r="G32"/>
      <c r="H32"/>
    </row>
    <row r="33" s="122" customFormat="1" ht="20.1" customHeight="1" spans="1:8">
      <c r="A33"/>
      <c r="B33"/>
      <c r="C33"/>
      <c r="D33"/>
      <c r="E33"/>
      <c r="F33"/>
      <c r="G33"/>
      <c r="H33"/>
    </row>
    <row r="34" s="122" customFormat="1" ht="20.1" customHeight="1" spans="1:8">
      <c r="A34"/>
      <c r="B34"/>
      <c r="C34"/>
      <c r="D34"/>
      <c r="E34"/>
      <c r="F34"/>
      <c r="G34"/>
      <c r="H34"/>
    </row>
    <row r="35" s="122" customFormat="1" ht="20.1" customHeight="1" spans="1:8">
      <c r="A35"/>
      <c r="B35"/>
      <c r="C35"/>
      <c r="D35"/>
      <c r="E35"/>
      <c r="F35"/>
      <c r="G35"/>
      <c r="H35"/>
    </row>
  </sheetData>
  <mergeCells count="3">
    <mergeCell ref="A2:H2"/>
    <mergeCell ref="A4:D4"/>
    <mergeCell ref="E4:H4"/>
  </mergeCells>
  <printOptions horizontalCentered="1"/>
  <pageMargins left="0.786805555555556" right="0.590277777777778" top="0.984027777777778" bottom="0.786805555555556" header="0.313888888888889" footer="0.313888888888889"/>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view="pageBreakPreview" zoomScaleNormal="100" workbookViewId="0">
      <selection activeCell="D6" sqref="D6"/>
    </sheetView>
  </sheetViews>
  <sheetFormatPr defaultColWidth="9" defaultRowHeight="14.25" outlineLevelRow="4" outlineLevelCol="5"/>
  <cols>
    <col min="1" max="1" width="10.375" customWidth="1"/>
    <col min="2" max="2" width="13" customWidth="1"/>
    <col min="3" max="3" width="16.875" customWidth="1"/>
    <col min="4" max="4" width="15.375" customWidth="1"/>
    <col min="5" max="5" width="13" customWidth="1"/>
    <col min="6" max="6" width="11" customWidth="1"/>
  </cols>
  <sheetData>
    <row r="1" s="118" customFormat="1" ht="24.95" customHeight="1" spans="1:6">
      <c r="A1" s="118" t="s">
        <v>118</v>
      </c>
    </row>
    <row r="2" s="163" customFormat="1" ht="45" customHeight="1" spans="1:6">
      <c r="A2" s="126" t="s">
        <v>119</v>
      </c>
      <c r="B2" s="126"/>
      <c r="C2" s="126"/>
      <c r="D2" s="126"/>
      <c r="E2" s="126"/>
      <c r="F2" s="126"/>
    </row>
    <row r="3" s="164" customFormat="1" ht="24.95" customHeight="1" spans="1:6">
      <c r="E3" s="127" t="s">
        <v>2</v>
      </c>
      <c r="F3" s="127"/>
    </row>
    <row r="4" s="121" customFormat="1" ht="39.95" customHeight="1" spans="1:6">
      <c r="A4" s="146" t="s">
        <v>67</v>
      </c>
      <c r="B4" s="147" t="s">
        <v>120</v>
      </c>
      <c r="C4" s="147" t="s">
        <v>121</v>
      </c>
      <c r="D4" s="147" t="s">
        <v>122</v>
      </c>
      <c r="E4" s="147" t="s">
        <v>123</v>
      </c>
      <c r="F4" s="146" t="s">
        <v>124</v>
      </c>
    </row>
    <row r="5" ht="35.1" customHeight="1" spans="1:6">
      <c r="A5" s="165" t="s">
        <v>125</v>
      </c>
      <c r="B5" s="166">
        <v>1593043</v>
      </c>
      <c r="C5" s="167">
        <v>342859</v>
      </c>
      <c r="D5" s="167">
        <v>245399</v>
      </c>
      <c r="E5" s="167">
        <v>1486837</v>
      </c>
      <c r="F5" s="168"/>
    </row>
  </sheetData>
  <mergeCells count="2">
    <mergeCell ref="A2:F2"/>
    <mergeCell ref="E3:F3"/>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view="pageBreakPreview" zoomScaleNormal="100" workbookViewId="0">
      <selection activeCell="B7" sqref="B7"/>
    </sheetView>
  </sheetViews>
  <sheetFormatPr defaultColWidth="9" defaultRowHeight="14.25"/>
  <cols>
    <col min="1" max="1" width="33.625" customWidth="1"/>
    <col min="2" max="2" width="11.625" customWidth="1"/>
    <col min="3" max="3" width="35.625" customWidth="1"/>
  </cols>
  <sheetData>
    <row r="1" s="118" customFormat="1" ht="24.95" customHeight="1" spans="1:10">
      <c r="A1" s="118" t="s">
        <v>126</v>
      </c>
    </row>
    <row r="2" s="119" customFormat="1" ht="45" customHeight="1" spans="1:10">
      <c r="A2" s="126" t="s">
        <v>127</v>
      </c>
      <c r="B2" s="126"/>
      <c r="C2" s="126"/>
      <c r="D2" s="159"/>
    </row>
    <row r="3" s="120" customFormat="1" ht="24.95" customHeight="1" spans="1:10">
      <c r="C3" s="127" t="s">
        <v>2</v>
      </c>
    </row>
    <row r="4" s="121" customFormat="1" ht="39.95" customHeight="1" spans="1:10">
      <c r="A4" s="146" t="s">
        <v>3</v>
      </c>
      <c r="B4" s="146" t="s">
        <v>128</v>
      </c>
      <c r="C4" s="146" t="s">
        <v>124</v>
      </c>
    </row>
    <row r="5" ht="24" customHeight="1" spans="1:10">
      <c r="A5" s="153" t="s">
        <v>129</v>
      </c>
      <c r="B5" s="14">
        <f>SUM(B6:B9)</f>
        <v>399784</v>
      </c>
      <c r="C5" s="153"/>
    </row>
    <row r="6" ht="24.95" customHeight="1" spans="1:10">
      <c r="A6" s="160" t="s">
        <v>130</v>
      </c>
      <c r="B6" s="14">
        <f>114503+40000+195035</f>
        <v>349538</v>
      </c>
      <c r="C6" s="153"/>
    </row>
    <row r="7" ht="24.95" customHeight="1" spans="1:10">
      <c r="A7" s="160" t="s">
        <v>131</v>
      </c>
      <c r="B7" s="14">
        <v>10146</v>
      </c>
      <c r="C7" s="153"/>
    </row>
    <row r="8" ht="24.95" customHeight="1" spans="1:10">
      <c r="A8" s="160" t="s">
        <v>132</v>
      </c>
      <c r="B8" s="14">
        <f>79800-40000</f>
        <v>39800</v>
      </c>
      <c r="C8" s="153"/>
    </row>
    <row r="9" ht="24.95" customHeight="1" spans="1:10">
      <c r="A9" s="160" t="s">
        <v>133</v>
      </c>
      <c r="B9" s="14">
        <v>300</v>
      </c>
      <c r="C9" s="153"/>
    </row>
    <row r="10" ht="24" customHeight="1" spans="1:10">
      <c r="A10" s="153" t="s">
        <v>134</v>
      </c>
      <c r="B10" s="14">
        <v>-1600</v>
      </c>
      <c r="C10" s="153" t="s">
        <v>135</v>
      </c>
    </row>
    <row r="11" ht="24.95" customHeight="1" spans="1:10">
      <c r="A11" s="161" t="s">
        <v>136</v>
      </c>
      <c r="B11" s="14">
        <v>-33142</v>
      </c>
      <c r="C11" s="153"/>
    </row>
    <row r="12" ht="24.95" customHeight="1" spans="1:10">
      <c r="A12" s="160" t="s">
        <v>70</v>
      </c>
      <c r="B12" s="14">
        <v>-11994</v>
      </c>
      <c r="C12" s="153" t="s">
        <v>137</v>
      </c>
    </row>
    <row r="13" ht="24.95" customHeight="1" spans="1:10">
      <c r="A13" s="160" t="s">
        <v>72</v>
      </c>
      <c r="B13" s="14">
        <v>-1158</v>
      </c>
      <c r="C13" s="153" t="s">
        <v>137</v>
      </c>
    </row>
    <row r="14" ht="24.95" customHeight="1" spans="1:10">
      <c r="A14" s="160" t="s">
        <v>138</v>
      </c>
      <c r="B14" s="14">
        <v>-9995</v>
      </c>
      <c r="C14" s="153"/>
      <c r="J14" s="162"/>
    </row>
    <row r="15" ht="24.95" customHeight="1" spans="1:10">
      <c r="A15" s="160" t="s">
        <v>139</v>
      </c>
      <c r="B15" s="14">
        <v>-9995</v>
      </c>
      <c r="C15" s="153"/>
    </row>
    <row r="16" ht="24.95" customHeight="1" spans="1:10">
      <c r="A16" s="160" t="s">
        <v>140</v>
      </c>
      <c r="B16" s="14"/>
      <c r="C16" s="153"/>
    </row>
    <row r="17" ht="24" customHeight="1" spans="1:3">
      <c r="A17" s="153" t="s">
        <v>141</v>
      </c>
      <c r="B17" s="14">
        <f>B5+B10+B11</f>
        <v>365042</v>
      </c>
      <c r="C17" s="153"/>
    </row>
  </sheetData>
  <sheetProtection sheet="1" objects="1"/>
  <mergeCells count="1">
    <mergeCell ref="A2:C2"/>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view="pageBreakPreview" zoomScaleNormal="100" workbookViewId="0">
      <selection activeCell="B19" sqref="B19"/>
    </sheetView>
  </sheetViews>
  <sheetFormatPr defaultColWidth="9" defaultRowHeight="14.25" outlineLevelCol="3"/>
  <cols>
    <col min="1" max="1" width="32.875" customWidth="1"/>
    <col min="2" max="2" width="11.125" customWidth="1"/>
    <col min="3" max="3" width="29.875" customWidth="1"/>
    <col min="4" max="4" width="8.875" style="143" customWidth="1"/>
  </cols>
  <sheetData>
    <row r="1" s="118" customFormat="1" ht="24.95" customHeight="1" spans="1:4">
      <c r="A1" s="118" t="s">
        <v>142</v>
      </c>
      <c r="D1" s="144"/>
    </row>
    <row r="2" s="119" customFormat="1" ht="45" customHeight="1" spans="1:4">
      <c r="A2" s="126" t="s">
        <v>143</v>
      </c>
      <c r="B2" s="126"/>
      <c r="C2" s="126"/>
      <c r="D2" s="126"/>
    </row>
    <row r="3" s="120" customFormat="1" ht="24.95" customHeight="1" spans="1:4">
      <c r="C3" s="145" t="s">
        <v>2</v>
      </c>
      <c r="D3" s="145"/>
    </row>
    <row r="4" s="121" customFormat="1" ht="24.95" customHeight="1" spans="1:4">
      <c r="A4" s="146" t="s">
        <v>144</v>
      </c>
      <c r="B4" s="146" t="s">
        <v>128</v>
      </c>
      <c r="C4" s="147" t="s">
        <v>145</v>
      </c>
      <c r="D4" s="148" t="s">
        <v>124</v>
      </c>
    </row>
    <row r="5" s="122" customFormat="1" ht="25" customHeight="1" spans="1:4">
      <c r="A5" s="149" t="s">
        <v>146</v>
      </c>
      <c r="B5" s="13"/>
      <c r="C5" s="150"/>
      <c r="D5" s="151"/>
    </row>
    <row r="6" s="122" customFormat="1" ht="25" customHeight="1" spans="1:4">
      <c r="A6" s="152" t="s">
        <v>147</v>
      </c>
      <c r="B6" s="13">
        <v>1552</v>
      </c>
      <c r="C6" s="153"/>
      <c r="D6" s="154"/>
    </row>
    <row r="7" s="122" customFormat="1" ht="25" customHeight="1" spans="1:4">
      <c r="A7" s="152" t="s">
        <v>148</v>
      </c>
      <c r="B7" s="13">
        <v>1552</v>
      </c>
      <c r="C7" s="153"/>
      <c r="D7" s="155"/>
    </row>
    <row r="8" s="122" customFormat="1" ht="30" customHeight="1" spans="1:4">
      <c r="A8" s="156" t="s">
        <v>149</v>
      </c>
      <c r="B8" s="13"/>
      <c r="C8" s="157" t="s">
        <v>150</v>
      </c>
      <c r="D8" s="158"/>
    </row>
    <row r="9" s="122" customFormat="1" ht="30" customHeight="1" spans="1:4">
      <c r="A9" s="156" t="s">
        <v>151</v>
      </c>
      <c r="B9" s="13">
        <v>237</v>
      </c>
      <c r="C9" s="157" t="s">
        <v>152</v>
      </c>
      <c r="D9" s="158"/>
    </row>
    <row r="10" s="122" customFormat="1" ht="76" customHeight="1" spans="1:4">
      <c r="A10" s="156" t="s">
        <v>153</v>
      </c>
      <c r="B10" s="13">
        <v>40</v>
      </c>
      <c r="C10" s="157" t="s">
        <v>154</v>
      </c>
      <c r="D10" s="158"/>
    </row>
    <row r="11" s="122" customFormat="1" ht="47" customHeight="1" spans="1:4">
      <c r="A11" s="156" t="s">
        <v>155</v>
      </c>
      <c r="B11" s="13">
        <v>375</v>
      </c>
      <c r="C11" s="157"/>
      <c r="D11" s="158"/>
    </row>
    <row r="12" s="122" customFormat="1" ht="67" customHeight="1" spans="1:4">
      <c r="A12" s="156" t="s">
        <v>156</v>
      </c>
      <c r="B12" s="13">
        <v>900</v>
      </c>
      <c r="C12" s="157" t="s">
        <v>157</v>
      </c>
      <c r="D12" s="158"/>
    </row>
    <row r="13" s="122" customFormat="1" ht="25" customHeight="1" spans="1:4">
      <c r="A13" s="153" t="s">
        <v>158</v>
      </c>
      <c r="B13" s="13"/>
      <c r="C13" s="157"/>
      <c r="D13" s="158"/>
    </row>
    <row r="14" s="122" customFormat="1" ht="25" customHeight="1" spans="1:4">
      <c r="A14" s="153" t="s">
        <v>159</v>
      </c>
      <c r="B14" s="140" t="s">
        <v>160</v>
      </c>
      <c r="C14" s="157"/>
      <c r="D14" s="158"/>
    </row>
  </sheetData>
  <sheetProtection sheet="1" objects="1"/>
  <mergeCells count="2">
    <mergeCell ref="A2:D2"/>
    <mergeCell ref="C3:D3"/>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view="pageBreakPreview" zoomScaleNormal="100" topLeftCell="A5" workbookViewId="0">
      <selection activeCell="B16" sqref="B16"/>
    </sheetView>
  </sheetViews>
  <sheetFormatPr defaultColWidth="9" defaultRowHeight="14.25" outlineLevelCol="7"/>
  <cols>
    <col min="1" max="1" width="26.625" customWidth="1"/>
    <col min="2" max="2" width="11.625" customWidth="1"/>
    <col min="3" max="3" width="31.875" style="124" customWidth="1"/>
    <col min="4" max="4" width="12.3666666666667" customWidth="1"/>
  </cols>
  <sheetData>
    <row r="1" s="118" customFormat="1" ht="24.95" customHeight="1" spans="1:8">
      <c r="A1" s="118" t="s">
        <v>161</v>
      </c>
      <c r="C1" s="125"/>
    </row>
    <row r="2" s="119" customFormat="1" ht="45" customHeight="1" spans="1:8">
      <c r="A2" s="126" t="s">
        <v>162</v>
      </c>
      <c r="B2" s="126"/>
      <c r="C2" s="126"/>
      <c r="D2" s="126"/>
    </row>
    <row r="3" s="120" customFormat="1" ht="24.95" customHeight="1" spans="1:8">
      <c r="C3" s="127" t="s">
        <v>2</v>
      </c>
      <c r="D3" s="127"/>
    </row>
    <row r="4" s="121" customFormat="1" ht="30" customHeight="1" spans="1:8">
      <c r="A4" s="128" t="s">
        <v>144</v>
      </c>
      <c r="B4" s="128" t="s">
        <v>128</v>
      </c>
      <c r="C4" s="129" t="s">
        <v>145</v>
      </c>
      <c r="D4" s="128" t="s">
        <v>124</v>
      </c>
    </row>
    <row r="5" s="122" customFormat="1" ht="30" customHeight="1" spans="1:8">
      <c r="A5" s="130" t="s">
        <v>163</v>
      </c>
      <c r="B5" s="131"/>
      <c r="C5" s="132"/>
      <c r="D5" s="130"/>
    </row>
    <row r="6" s="122" customFormat="1" ht="30" customHeight="1" spans="1:8">
      <c r="A6" s="130" t="s">
        <v>147</v>
      </c>
      <c r="B6" s="13">
        <v>5400</v>
      </c>
      <c r="C6" s="132"/>
      <c r="D6" s="130"/>
    </row>
    <row r="7" s="122" customFormat="1" ht="30" customHeight="1" spans="1:8">
      <c r="A7" s="133" t="s">
        <v>164</v>
      </c>
      <c r="B7" s="13">
        <v>3900</v>
      </c>
      <c r="C7" s="132"/>
      <c r="D7" s="134" t="s">
        <v>165</v>
      </c>
    </row>
    <row r="8" s="122" customFormat="1" ht="30" customHeight="1" spans="1:8">
      <c r="A8" s="133" t="s">
        <v>166</v>
      </c>
      <c r="B8" s="13">
        <v>1500</v>
      </c>
      <c r="C8" s="132"/>
      <c r="D8" s="135" t="s">
        <v>167</v>
      </c>
    </row>
    <row r="9" s="122" customFormat="1" ht="30" customHeight="1" spans="1:8">
      <c r="A9" s="133" t="s">
        <v>168</v>
      </c>
      <c r="B9" s="13"/>
      <c r="C9" s="132"/>
      <c r="D9" s="130"/>
    </row>
    <row r="10" s="122" customFormat="1" ht="30" customHeight="1" spans="1:8">
      <c r="A10" s="130" t="s">
        <v>148</v>
      </c>
      <c r="B10" s="13">
        <v>5400</v>
      </c>
      <c r="C10" s="132"/>
      <c r="D10" s="130"/>
    </row>
    <row r="11" s="123" customFormat="1" ht="58" customHeight="1" spans="1:8">
      <c r="A11" s="136" t="s">
        <v>169</v>
      </c>
      <c r="B11" s="13">
        <v>1589</v>
      </c>
      <c r="C11" s="137" t="s">
        <v>170</v>
      </c>
      <c r="D11" s="130"/>
    </row>
    <row r="12" s="122" customFormat="1" ht="39" customHeight="1" spans="1:8">
      <c r="A12" s="133" t="s">
        <v>171</v>
      </c>
      <c r="B12" s="13">
        <v>1620</v>
      </c>
      <c r="C12" s="137" t="s">
        <v>172</v>
      </c>
      <c r="D12" s="130"/>
    </row>
    <row r="13" s="122" customFormat="1" ht="65" customHeight="1" spans="1:8">
      <c r="A13" s="133" t="s">
        <v>173</v>
      </c>
      <c r="B13" s="13">
        <v>2035</v>
      </c>
      <c r="C13" s="137" t="s">
        <v>174</v>
      </c>
      <c r="D13" s="130"/>
    </row>
    <row r="14" s="122" customFormat="1" ht="30" customHeight="1" spans="1:8">
      <c r="A14" s="133" t="s">
        <v>175</v>
      </c>
      <c r="B14" s="13">
        <v>156</v>
      </c>
      <c r="C14" s="137" t="s">
        <v>176</v>
      </c>
      <c r="D14" s="130"/>
      <c r="H14" s="138"/>
    </row>
    <row r="15" s="122" customFormat="1" ht="47" customHeight="1" spans="1:8">
      <c r="A15" s="139" t="s">
        <v>177</v>
      </c>
      <c r="B15" s="131"/>
      <c r="C15" s="137" t="s">
        <v>178</v>
      </c>
      <c r="D15" s="135" t="s">
        <v>179</v>
      </c>
    </row>
    <row r="16" ht="30" customHeight="1" spans="1:8">
      <c r="A16" s="130" t="s">
        <v>159</v>
      </c>
      <c r="B16" s="140" t="s">
        <v>160</v>
      </c>
      <c r="C16" s="141"/>
      <c r="D16" s="142"/>
    </row>
  </sheetData>
  <sheetProtection sheet="1" objects="1"/>
  <mergeCells count="2">
    <mergeCell ref="A2:D2"/>
    <mergeCell ref="C3:D3"/>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AF31"/>
  <sheetViews>
    <sheetView workbookViewId="0">
      <selection activeCell="AE26" sqref="AE26"/>
    </sheetView>
  </sheetViews>
  <sheetFormatPr defaultColWidth="9" defaultRowHeight="14.25"/>
  <cols>
    <col min="1" max="1" width="33.25" style="26" customWidth="1"/>
    <col min="2" max="12" width="9" style="26" hidden="1" customWidth="1"/>
    <col min="13" max="13" width="7.75" style="26" customWidth="1"/>
    <col min="14" max="14" width="6.875" style="26" customWidth="1"/>
    <col min="15" max="15" width="7.75" style="26" customWidth="1"/>
    <col min="16" max="17" width="6.875" style="26" customWidth="1"/>
    <col min="18" max="18" width="7.75" style="26" customWidth="1"/>
    <col min="19" max="19" width="6" style="26" customWidth="1"/>
    <col min="20" max="20" width="9" style="26"/>
    <col min="21" max="21" width="6.875" style="26" customWidth="1"/>
    <col min="22" max="22" width="6" style="26" customWidth="1"/>
    <col min="23" max="23" width="9" style="26"/>
    <col min="24" max="24" width="6.875" style="26" customWidth="1"/>
    <col min="25" max="25" width="7.75" style="26" customWidth="1"/>
    <col min="26" max="26" width="6.875" style="26" customWidth="1"/>
    <col min="27" max="27" width="7.75" style="26" customWidth="1"/>
    <col min="28" max="28" width="9" style="26"/>
    <col min="29" max="29" width="6.875" style="26" customWidth="1"/>
    <col min="30" max="30" width="7.75" style="26" customWidth="1"/>
    <col min="31" max="31" width="6.875" style="26" customWidth="1"/>
    <col min="32" max="32" width="8.875" style="26" customWidth="1"/>
    <col min="33" max="16384" width="9" style="26"/>
  </cols>
  <sheetData>
    <row r="1" ht="26.25" spans="1:32">
      <c r="A1" s="27" t="s">
        <v>180</v>
      </c>
      <c r="B1" s="27"/>
      <c r="C1" s="27"/>
      <c r="D1" s="27"/>
      <c r="E1" s="27"/>
      <c r="F1" s="27"/>
      <c r="G1" s="28"/>
      <c r="H1" s="27"/>
      <c r="I1" s="27"/>
      <c r="J1" s="27"/>
      <c r="K1" s="27"/>
      <c r="L1" s="27"/>
    </row>
    <row r="2" ht="15" spans="1:32">
      <c r="A2" s="44"/>
      <c r="B2" s="102" t="s">
        <v>181</v>
      </c>
      <c r="C2" s="31" t="s">
        <v>182</v>
      </c>
      <c r="D2" s="32"/>
      <c r="E2" s="32"/>
      <c r="F2" s="32"/>
      <c r="G2" s="33"/>
      <c r="H2" s="31" t="s">
        <v>183</v>
      </c>
      <c r="I2" s="32"/>
      <c r="J2" s="32"/>
      <c r="K2" s="32"/>
      <c r="L2" s="34"/>
      <c r="M2" s="31" t="s">
        <v>184</v>
      </c>
      <c r="N2" s="32"/>
      <c r="O2" s="32"/>
      <c r="P2" s="32"/>
      <c r="Q2" s="103"/>
      <c r="R2" s="31" t="s">
        <v>185</v>
      </c>
      <c r="S2" s="32"/>
      <c r="T2" s="32"/>
      <c r="U2" s="32"/>
      <c r="V2" s="37"/>
      <c r="W2" s="31" t="s">
        <v>186</v>
      </c>
      <c r="X2" s="32"/>
      <c r="Y2" s="32"/>
      <c r="Z2" s="32"/>
      <c r="AA2" s="37"/>
      <c r="AB2" s="38" t="s">
        <v>187</v>
      </c>
      <c r="AC2" s="39"/>
      <c r="AD2" s="39"/>
      <c r="AE2" s="39"/>
      <c r="AF2" s="40"/>
    </row>
    <row r="3" spans="1:32">
      <c r="A3" s="49"/>
      <c r="B3" s="29" t="s">
        <v>188</v>
      </c>
      <c r="C3" s="43" t="s">
        <v>189</v>
      </c>
      <c r="D3" s="44" t="s">
        <v>190</v>
      </c>
      <c r="E3" s="44" t="s">
        <v>191</v>
      </c>
      <c r="F3" s="44" t="s">
        <v>192</v>
      </c>
      <c r="G3" s="45" t="s">
        <v>188</v>
      </c>
      <c r="H3" s="43" t="s">
        <v>189</v>
      </c>
      <c r="I3" s="44" t="s">
        <v>190</v>
      </c>
      <c r="J3" s="44" t="s">
        <v>191</v>
      </c>
      <c r="K3" s="44" t="s">
        <v>192</v>
      </c>
      <c r="L3" s="46" t="s">
        <v>188</v>
      </c>
      <c r="M3" s="104" t="s">
        <v>189</v>
      </c>
      <c r="N3" s="105" t="s">
        <v>190</v>
      </c>
      <c r="O3" s="105" t="s">
        <v>191</v>
      </c>
      <c r="P3" s="105" t="s">
        <v>192</v>
      </c>
      <c r="Q3" s="106" t="s">
        <v>188</v>
      </c>
      <c r="R3" s="43" t="s">
        <v>189</v>
      </c>
      <c r="S3" s="48" t="s">
        <v>190</v>
      </c>
      <c r="T3" s="48" t="s">
        <v>191</v>
      </c>
      <c r="U3" s="48" t="s">
        <v>192</v>
      </c>
      <c r="V3" s="49" t="s">
        <v>188</v>
      </c>
      <c r="W3" s="43" t="s">
        <v>189</v>
      </c>
      <c r="X3" s="48" t="s">
        <v>190</v>
      </c>
      <c r="Y3" s="48" t="s">
        <v>191</v>
      </c>
      <c r="Z3" s="48" t="s">
        <v>192</v>
      </c>
      <c r="AA3" s="49" t="s">
        <v>188</v>
      </c>
      <c r="AB3" s="50" t="s">
        <v>189</v>
      </c>
      <c r="AC3" s="4" t="s">
        <v>190</v>
      </c>
      <c r="AD3" s="4" t="s">
        <v>191</v>
      </c>
      <c r="AE3" s="4" t="s">
        <v>192</v>
      </c>
      <c r="AF3" s="51" t="s">
        <v>188</v>
      </c>
    </row>
    <row r="4" ht="16.5" spans="1:32">
      <c r="A4" s="107" t="s">
        <v>193</v>
      </c>
      <c r="B4" s="108">
        <f t="shared" ref="B4:G4" si="0">B5+B10+B11+B13+B12+B22</f>
        <v>21797</v>
      </c>
      <c r="C4" s="56">
        <f t="shared" si="0"/>
        <v>1173048</v>
      </c>
      <c r="D4" s="13">
        <f t="shared" si="0"/>
        <v>9014</v>
      </c>
      <c r="E4" s="13">
        <f t="shared" si="0"/>
        <v>1076791</v>
      </c>
      <c r="F4" s="14">
        <f t="shared" si="0"/>
        <v>90281</v>
      </c>
      <c r="G4" s="63">
        <f t="shared" si="0"/>
        <v>36787</v>
      </c>
      <c r="H4" s="56">
        <f>H5+H10+H11+H13+H12+H22+H23</f>
        <v>841567</v>
      </c>
      <c r="I4" s="13">
        <f t="shared" ref="I4:L4" si="1">I5+I10+I11+I13+I12+I22</f>
        <v>28018</v>
      </c>
      <c r="J4" s="13">
        <f t="shared" si="1"/>
        <v>780139</v>
      </c>
      <c r="K4" s="13">
        <f t="shared" si="1"/>
        <v>110128</v>
      </c>
      <c r="L4" s="57">
        <f t="shared" si="1"/>
        <v>8358</v>
      </c>
      <c r="M4" s="109">
        <f t="shared" ref="M4:AD4" si="2">M5+M10+M11+M13+M12+M22+M23</f>
        <v>682796</v>
      </c>
      <c r="N4" s="109">
        <f t="shared" si="2"/>
        <v>30234</v>
      </c>
      <c r="O4" s="109">
        <f t="shared" si="2"/>
        <v>617598</v>
      </c>
      <c r="P4" s="109">
        <f t="shared" si="2"/>
        <v>39758</v>
      </c>
      <c r="Q4" s="76">
        <f t="shared" si="2"/>
        <v>92461</v>
      </c>
      <c r="R4" s="54">
        <f t="shared" si="2"/>
        <v>880383</v>
      </c>
      <c r="S4" s="13">
        <f t="shared" si="2"/>
        <v>5594</v>
      </c>
      <c r="T4" s="13">
        <f t="shared" si="2"/>
        <v>959818</v>
      </c>
      <c r="U4" s="13">
        <f t="shared" si="2"/>
        <v>10702</v>
      </c>
      <c r="V4" s="61">
        <f t="shared" si="2"/>
        <v>7918</v>
      </c>
      <c r="W4" s="54">
        <f t="shared" si="2"/>
        <v>1046197</v>
      </c>
      <c r="X4" s="13">
        <f t="shared" si="2"/>
        <v>18447</v>
      </c>
      <c r="Y4" s="13">
        <f t="shared" si="2"/>
        <v>930063</v>
      </c>
      <c r="Z4" s="13">
        <f t="shared" si="2"/>
        <v>18334</v>
      </c>
      <c r="AA4" s="62">
        <f t="shared" si="2"/>
        <v>208708</v>
      </c>
      <c r="AB4" s="54">
        <f t="shared" si="2"/>
        <v>456644</v>
      </c>
      <c r="AC4" s="13">
        <f t="shared" si="2"/>
        <v>25304</v>
      </c>
      <c r="AD4" s="61">
        <f t="shared" si="2"/>
        <v>672208</v>
      </c>
      <c r="AE4" s="14">
        <f>AE5</f>
        <v>26424</v>
      </c>
      <c r="AF4" s="63">
        <f>AF5+AF10+AF11+AF12+AF13+AF22+AF23</f>
        <v>-7976</v>
      </c>
    </row>
    <row r="5" ht="16.5" spans="1:32">
      <c r="A5" s="107" t="s">
        <v>194</v>
      </c>
      <c r="B5" s="108">
        <f t="shared" ref="B5:M5" si="3">SUM(B6:B8)</f>
        <v>7000</v>
      </c>
      <c r="C5" s="56">
        <f t="shared" si="3"/>
        <v>847385</v>
      </c>
      <c r="D5" s="13"/>
      <c r="E5" s="13">
        <f t="shared" si="3"/>
        <v>760048</v>
      </c>
      <c r="F5" s="13">
        <f t="shared" si="3"/>
        <v>87762</v>
      </c>
      <c r="G5" s="63">
        <f t="shared" si="3"/>
        <v>6575</v>
      </c>
      <c r="H5" s="56">
        <f t="shared" si="3"/>
        <v>594682</v>
      </c>
      <c r="I5" s="13">
        <f t="shared" si="3"/>
        <v>0</v>
      </c>
      <c r="J5" s="13">
        <f t="shared" si="3"/>
        <v>491129</v>
      </c>
      <c r="K5" s="13">
        <f t="shared" si="3"/>
        <v>110128</v>
      </c>
      <c r="L5" s="57">
        <f t="shared" si="3"/>
        <v>0</v>
      </c>
      <c r="M5" s="109">
        <f t="shared" si="3"/>
        <v>335865</v>
      </c>
      <c r="N5" s="110"/>
      <c r="O5" s="110">
        <f t="shared" ref="O5:Q5" si="4">SUM(O6:O8)</f>
        <v>302643</v>
      </c>
      <c r="P5" s="110">
        <f t="shared" si="4"/>
        <v>39758</v>
      </c>
      <c r="Q5" s="111">
        <f t="shared" si="4"/>
        <v>39</v>
      </c>
      <c r="R5" s="54">
        <f t="shared" ref="R5:U5" si="5">SUM(R6:R9)</f>
        <v>550100</v>
      </c>
      <c r="S5" s="13">
        <f t="shared" si="5"/>
        <v>0</v>
      </c>
      <c r="T5" s="13">
        <f t="shared" si="5"/>
        <v>539400</v>
      </c>
      <c r="U5" s="13">
        <f t="shared" si="5"/>
        <v>10702</v>
      </c>
      <c r="V5" s="61">
        <f t="shared" ref="V5:V23" si="6">Q5+R5+S5-T5-U5</f>
        <v>37</v>
      </c>
      <c r="W5" s="54">
        <f t="shared" ref="W5:Z5" si="7">SUM(W6:W9)</f>
        <v>579639</v>
      </c>
      <c r="X5" s="13">
        <f t="shared" si="7"/>
        <v>0</v>
      </c>
      <c r="Y5" s="13">
        <f t="shared" si="7"/>
        <v>560421</v>
      </c>
      <c r="Z5" s="13">
        <f t="shared" si="7"/>
        <v>18334</v>
      </c>
      <c r="AA5" s="61">
        <f>Q5+W5+X5-Y5-Z5</f>
        <v>923</v>
      </c>
      <c r="AB5" s="56">
        <f>AB6+AB7+AB8</f>
        <v>378194</v>
      </c>
      <c r="AC5" s="13"/>
      <c r="AD5" s="13">
        <f>AD6+AD7+AD8</f>
        <v>373433</v>
      </c>
      <c r="AE5" s="13">
        <f>AE8</f>
        <v>26424</v>
      </c>
      <c r="AF5" s="63">
        <f t="shared" ref="AF5:AF15" si="8">AA5+AB5+AC5-AD5-AE5</f>
        <v>-20740</v>
      </c>
    </row>
    <row r="6" ht="16.5" spans="1:32">
      <c r="A6" s="112" t="s">
        <v>195</v>
      </c>
      <c r="B6" s="108">
        <v>0</v>
      </c>
      <c r="C6" s="56">
        <v>0</v>
      </c>
      <c r="D6" s="13"/>
      <c r="E6" s="13">
        <v>0</v>
      </c>
      <c r="F6" s="13"/>
      <c r="G6" s="63">
        <f t="shared" ref="G6:G8" si="9">B6+D6+(C6-E6-F6)</f>
        <v>0</v>
      </c>
      <c r="H6" s="56">
        <v>21300</v>
      </c>
      <c r="I6" s="13"/>
      <c r="J6" s="13">
        <v>21300</v>
      </c>
      <c r="K6" s="13"/>
      <c r="L6" s="57">
        <f t="shared" ref="L6:L8" si="10">G6+H6+I6-J6-K6</f>
        <v>0</v>
      </c>
      <c r="M6" s="109">
        <v>10023</v>
      </c>
      <c r="N6" s="110"/>
      <c r="O6" s="110">
        <v>9995</v>
      </c>
      <c r="P6" s="110"/>
      <c r="Q6" s="111">
        <f t="shared" ref="Q6:Q8" si="11">G6+N6+(M6-O6-P6)</f>
        <v>28</v>
      </c>
      <c r="R6" s="54">
        <v>15423</v>
      </c>
      <c r="S6" s="13"/>
      <c r="T6" s="13">
        <v>15423</v>
      </c>
      <c r="U6" s="13"/>
      <c r="V6" s="61">
        <f t="shared" si="6"/>
        <v>28</v>
      </c>
      <c r="W6" s="54">
        <v>16309</v>
      </c>
      <c r="X6" s="13"/>
      <c r="Y6" s="13">
        <v>15423</v>
      </c>
      <c r="Z6" s="13"/>
      <c r="AA6" s="61">
        <f>Q6+W6+X6-Y6-Z6</f>
        <v>914</v>
      </c>
      <c r="AB6" s="56">
        <f>表1!D6</f>
        <v>11994</v>
      </c>
      <c r="AC6" s="13"/>
      <c r="AD6" s="13">
        <f>表2!D22</f>
        <v>11994</v>
      </c>
      <c r="AE6" s="13"/>
      <c r="AF6" s="63">
        <f t="shared" si="8"/>
        <v>914</v>
      </c>
    </row>
    <row r="7" ht="16.5" spans="1:32">
      <c r="A7" s="112" t="s">
        <v>196</v>
      </c>
      <c r="B7" s="108">
        <v>0</v>
      </c>
      <c r="C7" s="56"/>
      <c r="D7" s="13"/>
      <c r="E7" s="13">
        <v>0</v>
      </c>
      <c r="F7" s="14"/>
      <c r="G7" s="63">
        <f t="shared" si="9"/>
        <v>0</v>
      </c>
      <c r="H7" s="56">
        <v>2400</v>
      </c>
      <c r="I7" s="13"/>
      <c r="J7" s="13">
        <v>2400</v>
      </c>
      <c r="K7" s="13"/>
      <c r="L7" s="57">
        <f t="shared" si="10"/>
        <v>0</v>
      </c>
      <c r="M7" s="109">
        <v>1585</v>
      </c>
      <c r="N7" s="110"/>
      <c r="O7" s="110">
        <v>1576</v>
      </c>
      <c r="P7" s="110"/>
      <c r="Q7" s="111">
        <f t="shared" si="11"/>
        <v>9</v>
      </c>
      <c r="R7" s="54">
        <v>2050</v>
      </c>
      <c r="S7" s="13"/>
      <c r="T7" s="13">
        <v>2050</v>
      </c>
      <c r="U7" s="13"/>
      <c r="V7" s="61">
        <f t="shared" si="6"/>
        <v>9</v>
      </c>
      <c r="W7" s="54">
        <v>2050</v>
      </c>
      <c r="X7" s="13"/>
      <c r="Y7" s="13">
        <v>2050</v>
      </c>
      <c r="Z7" s="13"/>
      <c r="AA7" s="61">
        <f t="shared" ref="AA6:AA22" si="12">Q7+W7+X7-Y7-Z7</f>
        <v>9</v>
      </c>
      <c r="AB7" s="56">
        <f>表1!D7</f>
        <v>1158</v>
      </c>
      <c r="AC7" s="13"/>
      <c r="AD7" s="13">
        <f>AB7</f>
        <v>1158</v>
      </c>
      <c r="AE7" s="14"/>
      <c r="AF7" s="63">
        <f t="shared" si="8"/>
        <v>9</v>
      </c>
    </row>
    <row r="8" ht="16.5" spans="1:32">
      <c r="A8" s="112" t="s">
        <v>197</v>
      </c>
      <c r="B8" s="108">
        <v>7000</v>
      </c>
      <c r="C8" s="56">
        <v>847385</v>
      </c>
      <c r="D8" s="13"/>
      <c r="E8" s="13">
        <v>760048</v>
      </c>
      <c r="F8" s="14">
        <v>87762</v>
      </c>
      <c r="G8" s="63">
        <f t="shared" si="9"/>
        <v>6575</v>
      </c>
      <c r="H8" s="56">
        <v>570982</v>
      </c>
      <c r="I8" s="13"/>
      <c r="J8" s="13">
        <v>467429</v>
      </c>
      <c r="K8" s="13">
        <f>21799+82110+6219</f>
        <v>110128</v>
      </c>
      <c r="L8" s="57">
        <f t="shared" si="10"/>
        <v>0</v>
      </c>
      <c r="M8" s="109">
        <v>324257</v>
      </c>
      <c r="N8" s="110"/>
      <c r="O8" s="110">
        <v>291072</v>
      </c>
      <c r="P8" s="110">
        <f>16384+23374</f>
        <v>39758</v>
      </c>
      <c r="Q8" s="111">
        <f t="shared" si="11"/>
        <v>2</v>
      </c>
      <c r="R8" s="54">
        <v>496627</v>
      </c>
      <c r="S8" s="13"/>
      <c r="T8" s="13">
        <f>485927</f>
        <v>485927</v>
      </c>
      <c r="U8" s="13">
        <f>10690+12</f>
        <v>10702</v>
      </c>
      <c r="V8" s="61">
        <f t="shared" si="6"/>
        <v>0</v>
      </c>
      <c r="W8" s="54">
        <v>525280</v>
      </c>
      <c r="X8" s="13"/>
      <c r="Y8" s="13">
        <f>464672+23829+18447</f>
        <v>506948</v>
      </c>
      <c r="Z8" s="13">
        <f>18322+12</f>
        <v>18334</v>
      </c>
      <c r="AA8" s="61">
        <f t="shared" si="12"/>
        <v>0</v>
      </c>
      <c r="AB8" s="56">
        <f>表1!D8</f>
        <v>365042</v>
      </c>
      <c r="AC8" s="13"/>
      <c r="AD8" s="13">
        <f>表2!D14</f>
        <v>360281</v>
      </c>
      <c r="AE8" s="14">
        <f>表3!H29+21240+4064</f>
        <v>26424</v>
      </c>
      <c r="AF8" s="63">
        <f t="shared" si="8"/>
        <v>-21663</v>
      </c>
    </row>
    <row r="9" ht="16.5" spans="1:32">
      <c r="A9" s="107" t="s">
        <v>198</v>
      </c>
      <c r="B9" s="108"/>
      <c r="C9" s="56"/>
      <c r="D9" s="13"/>
      <c r="E9" s="13"/>
      <c r="F9" s="14"/>
      <c r="G9" s="63"/>
      <c r="H9" s="56"/>
      <c r="I9" s="13"/>
      <c r="J9" s="13"/>
      <c r="K9" s="13"/>
      <c r="L9" s="57"/>
      <c r="M9" s="109"/>
      <c r="N9" s="110"/>
      <c r="O9" s="110"/>
      <c r="P9" s="110"/>
      <c r="Q9" s="111"/>
      <c r="R9" s="54">
        <v>36000</v>
      </c>
      <c r="S9" s="13"/>
      <c r="T9" s="13">
        <v>36000</v>
      </c>
      <c r="U9" s="13"/>
      <c r="V9" s="61">
        <f t="shared" si="6"/>
        <v>0</v>
      </c>
      <c r="W9" s="54">
        <v>36000</v>
      </c>
      <c r="X9" s="13"/>
      <c r="Y9" s="13">
        <v>36000</v>
      </c>
      <c r="Z9" s="13"/>
      <c r="AA9" s="61">
        <f t="shared" si="12"/>
        <v>0</v>
      </c>
      <c r="AB9" s="56"/>
      <c r="AC9" s="13"/>
      <c r="AD9" s="13"/>
      <c r="AE9" s="14"/>
      <c r="AF9" s="63">
        <f t="shared" si="8"/>
        <v>0</v>
      </c>
    </row>
    <row r="10" ht="16.5" spans="1:32">
      <c r="A10" s="107" t="s">
        <v>199</v>
      </c>
      <c r="B10" s="108">
        <v>2000</v>
      </c>
      <c r="C10" s="56">
        <v>4686</v>
      </c>
      <c r="D10" s="13"/>
      <c r="E10" s="13">
        <v>2767</v>
      </c>
      <c r="F10" s="14">
        <v>2519</v>
      </c>
      <c r="G10" s="63">
        <f t="shared" ref="G10:G12" si="13">B10+D10+(C10-E10-F10)</f>
        <v>1400</v>
      </c>
      <c r="H10" s="56">
        <v>4000</v>
      </c>
      <c r="I10" s="13"/>
      <c r="J10" s="13">
        <v>4000</v>
      </c>
      <c r="K10" s="13"/>
      <c r="L10" s="57">
        <f t="shared" ref="L10:L12" si="14">G10+H10+I10-J10-K10</f>
        <v>1400</v>
      </c>
      <c r="M10" s="109">
        <v>3883</v>
      </c>
      <c r="N10" s="110"/>
      <c r="O10" s="110">
        <v>3784</v>
      </c>
      <c r="P10" s="110"/>
      <c r="Q10" s="111">
        <f t="shared" ref="Q10:Q12" si="15">G10+N10+(M10-O10-P10)</f>
        <v>1499</v>
      </c>
      <c r="R10" s="54">
        <v>1400</v>
      </c>
      <c r="S10" s="13"/>
      <c r="T10" s="13">
        <v>2218</v>
      </c>
      <c r="U10" s="13"/>
      <c r="V10" s="61">
        <f t="shared" si="6"/>
        <v>681</v>
      </c>
      <c r="W10" s="54">
        <v>1400</v>
      </c>
      <c r="X10" s="13"/>
      <c r="Y10" s="13">
        <v>2218</v>
      </c>
      <c r="Z10" s="13"/>
      <c r="AA10" s="61">
        <f t="shared" si="12"/>
        <v>681</v>
      </c>
      <c r="AB10" s="56">
        <f>表1!D14</f>
        <v>1552</v>
      </c>
      <c r="AC10" s="13"/>
      <c r="AD10" s="13">
        <f>AB10</f>
        <v>1552</v>
      </c>
      <c r="AE10" s="14"/>
      <c r="AF10" s="63">
        <f t="shared" si="8"/>
        <v>681</v>
      </c>
    </row>
    <row r="11" ht="16.5" spans="1:32">
      <c r="A11" s="107" t="s">
        <v>200</v>
      </c>
      <c r="B11" s="108">
        <v>0</v>
      </c>
      <c r="C11" s="56">
        <v>5424</v>
      </c>
      <c r="D11" s="13"/>
      <c r="E11" s="13">
        <v>4430</v>
      </c>
      <c r="F11" s="13"/>
      <c r="G11" s="63">
        <f t="shared" si="13"/>
        <v>994</v>
      </c>
      <c r="H11" s="56">
        <f>6169+800</f>
        <v>6969</v>
      </c>
      <c r="I11" s="13"/>
      <c r="J11" s="13">
        <v>6969</v>
      </c>
      <c r="K11" s="13"/>
      <c r="L11" s="57">
        <f t="shared" si="14"/>
        <v>994</v>
      </c>
      <c r="M11" s="109">
        <v>7456</v>
      </c>
      <c r="N11" s="110"/>
      <c r="O11" s="110">
        <v>7489</v>
      </c>
      <c r="P11" s="110"/>
      <c r="Q11" s="111">
        <f t="shared" si="15"/>
        <v>961</v>
      </c>
      <c r="R11" s="54">
        <v>4760</v>
      </c>
      <c r="S11" s="13"/>
      <c r="T11" s="13">
        <v>4760</v>
      </c>
      <c r="U11" s="13"/>
      <c r="V11" s="61">
        <f t="shared" si="6"/>
        <v>961</v>
      </c>
      <c r="W11" s="54">
        <v>4760</v>
      </c>
      <c r="X11" s="13"/>
      <c r="Y11" s="13">
        <v>4760</v>
      </c>
      <c r="Z11" s="13"/>
      <c r="AA11" s="61">
        <f t="shared" si="12"/>
        <v>961</v>
      </c>
      <c r="AB11" s="56">
        <f>表1!D15</f>
        <v>3900</v>
      </c>
      <c r="AC11" s="13"/>
      <c r="AD11" s="13">
        <f>AB11</f>
        <v>3900</v>
      </c>
      <c r="AE11" s="13"/>
      <c r="AF11" s="63">
        <f t="shared" si="8"/>
        <v>961</v>
      </c>
    </row>
    <row r="12" ht="16.5" spans="1:32">
      <c r="A12" s="113" t="s">
        <v>201</v>
      </c>
      <c r="B12" s="108">
        <v>0</v>
      </c>
      <c r="C12" s="56">
        <f>6869</f>
        <v>6869</v>
      </c>
      <c r="D12" s="13">
        <f>8733+281</f>
        <v>9014</v>
      </c>
      <c r="E12" s="13">
        <f>15602+281</f>
        <v>15883</v>
      </c>
      <c r="F12" s="13"/>
      <c r="G12" s="63">
        <f t="shared" si="13"/>
        <v>0</v>
      </c>
      <c r="H12" s="56">
        <f>13822+1583+216</f>
        <v>15621</v>
      </c>
      <c r="I12" s="13">
        <f>6219+21799</f>
        <v>28018</v>
      </c>
      <c r="J12" s="14">
        <f>20041+23374+224</f>
        <v>43639</v>
      </c>
      <c r="K12" s="13"/>
      <c r="L12" s="57">
        <f t="shared" si="14"/>
        <v>0</v>
      </c>
      <c r="M12" s="109">
        <v>13505</v>
      </c>
      <c r="N12" s="110">
        <f>6860+23374</f>
        <v>30234</v>
      </c>
      <c r="O12" s="110">
        <f>23374+20040+325</f>
        <v>43739</v>
      </c>
      <c r="P12" s="110"/>
      <c r="Q12" s="111">
        <f t="shared" si="15"/>
        <v>0</v>
      </c>
      <c r="R12" s="54">
        <v>22910</v>
      </c>
      <c r="S12" s="13">
        <f>12+5582</f>
        <v>5594</v>
      </c>
      <c r="T12" s="14">
        <f>28258+234+12</f>
        <v>28504</v>
      </c>
      <c r="U12" s="13"/>
      <c r="V12" s="61">
        <f t="shared" si="6"/>
        <v>0</v>
      </c>
      <c r="W12" s="54">
        <v>10176</v>
      </c>
      <c r="X12" s="13">
        <f>18328+119</f>
        <v>18447</v>
      </c>
      <c r="Y12" s="14">
        <f>28258+353+12</f>
        <v>28623</v>
      </c>
      <c r="Z12" s="13"/>
      <c r="AA12" s="61">
        <f t="shared" si="12"/>
        <v>0</v>
      </c>
      <c r="AB12" s="56">
        <f>表1!D17</f>
        <v>56860</v>
      </c>
      <c r="AC12" s="13">
        <f>4014+50</f>
        <v>4064</v>
      </c>
      <c r="AD12" s="13">
        <f>表3!H24+230</f>
        <v>39201</v>
      </c>
      <c r="AE12" s="13"/>
      <c r="AF12" s="63">
        <f t="shared" si="8"/>
        <v>21723</v>
      </c>
    </row>
    <row r="13" ht="16.5" spans="1:32">
      <c r="A13" s="107" t="s">
        <v>202</v>
      </c>
      <c r="B13" s="59">
        <f t="shared" ref="B13:M13" si="16">SUM(B15:B19)</f>
        <v>2797</v>
      </c>
      <c r="C13" s="58">
        <f t="shared" si="16"/>
        <v>3979</v>
      </c>
      <c r="D13" s="14"/>
      <c r="E13" s="13">
        <f t="shared" si="16"/>
        <v>2827</v>
      </c>
      <c r="F13" s="13"/>
      <c r="G13" s="63">
        <f t="shared" si="16"/>
        <v>3949</v>
      </c>
      <c r="H13" s="56">
        <f t="shared" si="16"/>
        <v>5048</v>
      </c>
      <c r="I13" s="13">
        <f t="shared" si="16"/>
        <v>0</v>
      </c>
      <c r="J13" s="13">
        <f t="shared" si="16"/>
        <v>5048</v>
      </c>
      <c r="K13" s="13">
        <f t="shared" si="16"/>
        <v>0</v>
      </c>
      <c r="L13" s="57">
        <f t="shared" si="16"/>
        <v>3949</v>
      </c>
      <c r="M13" s="109">
        <f>SUM(M15:M21)</f>
        <v>6594</v>
      </c>
      <c r="N13" s="110"/>
      <c r="O13" s="110">
        <f>SUM(O15:O19)</f>
        <v>2532</v>
      </c>
      <c r="P13" s="110"/>
      <c r="Q13" s="111">
        <f>SUM(Q15:Q21)</f>
        <v>8011</v>
      </c>
      <c r="R13" s="54">
        <f>SUM(R14:R21)</f>
        <v>23253</v>
      </c>
      <c r="S13" s="13">
        <f t="shared" ref="S13:X13" si="17">SUM(S14:S19)</f>
        <v>0</v>
      </c>
      <c r="T13" s="13">
        <f>SUM(T14:T21)</f>
        <v>25025</v>
      </c>
      <c r="U13" s="13">
        <f t="shared" si="17"/>
        <v>0</v>
      </c>
      <c r="V13" s="61">
        <f t="shared" si="6"/>
        <v>6239</v>
      </c>
      <c r="W13" s="54">
        <f>SUM(W14:W21)</f>
        <v>23253</v>
      </c>
      <c r="X13" s="13">
        <f t="shared" si="17"/>
        <v>0</v>
      </c>
      <c r="Y13" s="13">
        <f>SUM(Y14:Y21)</f>
        <v>25025</v>
      </c>
      <c r="Z13" s="13">
        <f>SUM(Z14:Z19)</f>
        <v>0</v>
      </c>
      <c r="AA13" s="61">
        <f t="shared" si="12"/>
        <v>6239</v>
      </c>
      <c r="AB13" s="58"/>
      <c r="AC13" s="14">
        <v>0</v>
      </c>
      <c r="AD13" s="14">
        <f>SUM(AD14:AD21)</f>
        <v>2052</v>
      </c>
      <c r="AE13" s="13"/>
      <c r="AF13" s="63">
        <f t="shared" si="8"/>
        <v>4187</v>
      </c>
    </row>
    <row r="14" ht="16.5" spans="1:32">
      <c r="A14" s="112" t="s">
        <v>203</v>
      </c>
      <c r="B14" s="108"/>
      <c r="C14" s="56"/>
      <c r="D14" s="13"/>
      <c r="E14" s="13"/>
      <c r="F14" s="13"/>
      <c r="G14" s="63"/>
      <c r="H14" s="56"/>
      <c r="I14" s="13"/>
      <c r="J14" s="13"/>
      <c r="K14" s="13"/>
      <c r="L14" s="57"/>
      <c r="M14" s="109"/>
      <c r="N14" s="110"/>
      <c r="O14" s="110"/>
      <c r="P14" s="110"/>
      <c r="Q14" s="111"/>
      <c r="R14" s="54">
        <v>220</v>
      </c>
      <c r="S14" s="13"/>
      <c r="T14" s="13"/>
      <c r="U14" s="13"/>
      <c r="V14" s="61">
        <f t="shared" si="6"/>
        <v>220</v>
      </c>
      <c r="W14" s="54">
        <v>220</v>
      </c>
      <c r="X14" s="13"/>
      <c r="Y14" s="13"/>
      <c r="Z14" s="13"/>
      <c r="AA14" s="61">
        <f t="shared" si="12"/>
        <v>220</v>
      </c>
      <c r="AB14" s="56"/>
      <c r="AC14" s="13"/>
      <c r="AD14" s="61"/>
      <c r="AE14" s="13"/>
      <c r="AF14" s="63">
        <f t="shared" si="8"/>
        <v>220</v>
      </c>
    </row>
    <row r="15" ht="16.5" spans="1:32">
      <c r="A15" s="112" t="s">
        <v>204</v>
      </c>
      <c r="B15" s="108">
        <v>11</v>
      </c>
      <c r="C15" s="56">
        <v>33</v>
      </c>
      <c r="D15" s="13"/>
      <c r="E15" s="13">
        <v>26</v>
      </c>
      <c r="F15" s="13"/>
      <c r="G15" s="63">
        <f t="shared" ref="G15:G19" si="18">B15+D15+(C15-E15-F15)</f>
        <v>18</v>
      </c>
      <c r="H15" s="56">
        <v>55</v>
      </c>
      <c r="I15" s="13"/>
      <c r="J15" s="13">
        <v>55</v>
      </c>
      <c r="K15" s="13"/>
      <c r="L15" s="57">
        <f t="shared" ref="L15:L19" si="19">G15+H15+I15-J15-K15</f>
        <v>18</v>
      </c>
      <c r="M15" s="109">
        <v>5</v>
      </c>
      <c r="N15" s="110"/>
      <c r="O15" s="110">
        <v>23</v>
      </c>
      <c r="P15" s="110"/>
      <c r="Q15" s="111">
        <f t="shared" ref="Q15:Q19" si="20">G15+N15+(M15-O15-P15)</f>
        <v>0</v>
      </c>
      <c r="R15" s="54">
        <v>34</v>
      </c>
      <c r="S15" s="13"/>
      <c r="T15" s="13">
        <v>34</v>
      </c>
      <c r="U15" s="13"/>
      <c r="V15" s="61">
        <f t="shared" si="6"/>
        <v>0</v>
      </c>
      <c r="W15" s="54">
        <v>34</v>
      </c>
      <c r="X15" s="13"/>
      <c r="Y15" s="13">
        <v>34</v>
      </c>
      <c r="Z15" s="13"/>
      <c r="AA15" s="61">
        <f t="shared" si="12"/>
        <v>0</v>
      </c>
      <c r="AB15" s="56"/>
      <c r="AC15" s="13"/>
      <c r="AD15" s="61">
        <v>0</v>
      </c>
      <c r="AE15" s="13"/>
      <c r="AF15" s="63">
        <f t="shared" si="8"/>
        <v>0</v>
      </c>
    </row>
    <row r="16" ht="16.5" spans="1:32">
      <c r="A16" s="112" t="s">
        <v>205</v>
      </c>
      <c r="B16" s="108">
        <v>0</v>
      </c>
      <c r="C16" s="56"/>
      <c r="D16" s="13"/>
      <c r="E16" s="13"/>
      <c r="F16" s="13"/>
      <c r="G16" s="63">
        <f t="shared" si="18"/>
        <v>0</v>
      </c>
      <c r="H16" s="56"/>
      <c r="I16" s="13"/>
      <c r="J16" s="13"/>
      <c r="K16" s="13"/>
      <c r="L16" s="57">
        <f t="shared" si="19"/>
        <v>0</v>
      </c>
      <c r="M16" s="109"/>
      <c r="N16" s="110"/>
      <c r="O16" s="110"/>
      <c r="P16" s="110"/>
      <c r="Q16" s="111">
        <f t="shared" si="20"/>
        <v>0</v>
      </c>
      <c r="R16" s="54">
        <v>200</v>
      </c>
      <c r="S16" s="13"/>
      <c r="T16" s="13"/>
      <c r="U16" s="13"/>
      <c r="V16" s="61">
        <f t="shared" si="6"/>
        <v>200</v>
      </c>
      <c r="W16" s="54">
        <v>200</v>
      </c>
      <c r="X16" s="13"/>
      <c r="Y16" s="13"/>
      <c r="Z16" s="13"/>
      <c r="AA16" s="61">
        <f t="shared" si="12"/>
        <v>200</v>
      </c>
      <c r="AB16" s="56"/>
      <c r="AC16" s="13"/>
      <c r="AD16" s="61"/>
      <c r="AE16" s="13"/>
      <c r="AF16" s="63">
        <f t="shared" ref="AF16:AF23" si="21">AA16+AB16+AC16-AD16-AE16</f>
        <v>200</v>
      </c>
    </row>
    <row r="17" ht="16.5" spans="1:32">
      <c r="A17" s="112" t="s">
        <v>206</v>
      </c>
      <c r="B17" s="108">
        <v>646</v>
      </c>
      <c r="C17" s="56">
        <v>837</v>
      </c>
      <c r="D17" s="13"/>
      <c r="E17" s="13">
        <f>5+652</f>
        <v>657</v>
      </c>
      <c r="F17" s="13"/>
      <c r="G17" s="63">
        <f t="shared" si="18"/>
        <v>826</v>
      </c>
      <c r="H17" s="56">
        <v>1267</v>
      </c>
      <c r="I17" s="13"/>
      <c r="J17" s="13">
        <v>1267</v>
      </c>
      <c r="K17" s="13"/>
      <c r="L17" s="57">
        <f t="shared" si="19"/>
        <v>826</v>
      </c>
      <c r="M17" s="109">
        <v>1267</v>
      </c>
      <c r="N17" s="110"/>
      <c r="O17" s="110">
        <v>711</v>
      </c>
      <c r="P17" s="110"/>
      <c r="Q17" s="111">
        <f t="shared" si="20"/>
        <v>1382</v>
      </c>
      <c r="R17" s="54">
        <v>524</v>
      </c>
      <c r="S17" s="13"/>
      <c r="T17" s="13">
        <v>825</v>
      </c>
      <c r="U17" s="13"/>
      <c r="V17" s="61">
        <f t="shared" si="6"/>
        <v>1081</v>
      </c>
      <c r="W17" s="54">
        <v>524</v>
      </c>
      <c r="X17" s="13"/>
      <c r="Y17" s="13">
        <v>825</v>
      </c>
      <c r="Z17" s="13"/>
      <c r="AA17" s="61">
        <f t="shared" si="12"/>
        <v>1081</v>
      </c>
      <c r="AB17" s="56"/>
      <c r="AC17" s="13"/>
      <c r="AD17" s="61"/>
      <c r="AE17" s="13"/>
      <c r="AF17" s="63">
        <f t="shared" si="21"/>
        <v>1081</v>
      </c>
    </row>
    <row r="18" ht="16.5" spans="1:32">
      <c r="A18" s="112" t="s">
        <v>207</v>
      </c>
      <c r="B18" s="108">
        <v>533</v>
      </c>
      <c r="C18" s="56">
        <v>600</v>
      </c>
      <c r="D18" s="13"/>
      <c r="E18" s="13">
        <v>499</v>
      </c>
      <c r="F18" s="13"/>
      <c r="G18" s="63">
        <f t="shared" si="18"/>
        <v>634</v>
      </c>
      <c r="H18" s="56">
        <v>1200</v>
      </c>
      <c r="I18" s="13"/>
      <c r="J18" s="13">
        <v>1200</v>
      </c>
      <c r="K18" s="13"/>
      <c r="L18" s="57">
        <f t="shared" si="19"/>
        <v>634</v>
      </c>
      <c r="M18" s="109">
        <v>1500</v>
      </c>
      <c r="N18" s="110"/>
      <c r="O18" s="110">
        <v>10</v>
      </c>
      <c r="P18" s="110"/>
      <c r="Q18" s="111">
        <f t="shared" si="20"/>
        <v>2124</v>
      </c>
      <c r="R18" s="54"/>
      <c r="S18" s="13"/>
      <c r="T18" s="13">
        <f>300+300</f>
        <v>600</v>
      </c>
      <c r="U18" s="13"/>
      <c r="V18" s="61">
        <f t="shared" si="6"/>
        <v>1524</v>
      </c>
      <c r="W18" s="54"/>
      <c r="X18" s="13"/>
      <c r="Y18" s="13">
        <f>300+300</f>
        <v>600</v>
      </c>
      <c r="Z18" s="13"/>
      <c r="AA18" s="61">
        <f t="shared" si="12"/>
        <v>1524</v>
      </c>
      <c r="AB18" s="56"/>
      <c r="AC18" s="13"/>
      <c r="AD18" s="61"/>
      <c r="AE18" s="13"/>
      <c r="AF18" s="63">
        <f t="shared" si="21"/>
        <v>1524</v>
      </c>
    </row>
    <row r="19" ht="16.5" spans="1:32">
      <c r="A19" s="112" t="s">
        <v>208</v>
      </c>
      <c r="B19" s="108">
        <v>1607</v>
      </c>
      <c r="C19" s="56">
        <v>2509</v>
      </c>
      <c r="D19" s="13"/>
      <c r="E19" s="13">
        <v>1645</v>
      </c>
      <c r="F19" s="13"/>
      <c r="G19" s="63">
        <f t="shared" si="18"/>
        <v>2471</v>
      </c>
      <c r="H19" s="56">
        <v>2526</v>
      </c>
      <c r="I19" s="13"/>
      <c r="J19" s="13">
        <v>2526</v>
      </c>
      <c r="K19" s="13"/>
      <c r="L19" s="57">
        <f t="shared" si="19"/>
        <v>2471</v>
      </c>
      <c r="M19" s="109">
        <v>2776</v>
      </c>
      <c r="N19" s="110"/>
      <c r="O19" s="110">
        <v>1788</v>
      </c>
      <c r="P19" s="110"/>
      <c r="Q19" s="111">
        <f t="shared" si="20"/>
        <v>3459</v>
      </c>
      <c r="R19" s="54">
        <v>834</v>
      </c>
      <c r="S19" s="13"/>
      <c r="T19" s="13">
        <v>2400</v>
      </c>
      <c r="U19" s="13"/>
      <c r="V19" s="61">
        <f t="shared" si="6"/>
        <v>1893</v>
      </c>
      <c r="W19" s="54">
        <v>834</v>
      </c>
      <c r="X19" s="13"/>
      <c r="Y19" s="13">
        <v>2400</v>
      </c>
      <c r="Z19" s="13"/>
      <c r="AA19" s="61">
        <f t="shared" si="12"/>
        <v>1893</v>
      </c>
      <c r="AB19" s="56"/>
      <c r="AC19" s="13"/>
      <c r="AD19" s="61">
        <v>1893</v>
      </c>
      <c r="AE19" s="13"/>
      <c r="AF19" s="63">
        <f t="shared" si="21"/>
        <v>0</v>
      </c>
    </row>
    <row r="20" ht="16.5" spans="1:32">
      <c r="A20" s="113" t="s">
        <v>209</v>
      </c>
      <c r="B20" s="108"/>
      <c r="C20" s="56"/>
      <c r="D20" s="13"/>
      <c r="E20" s="13"/>
      <c r="F20" s="13"/>
      <c r="G20" s="63"/>
      <c r="H20" s="56"/>
      <c r="I20" s="13"/>
      <c r="J20" s="13"/>
      <c r="K20" s="13"/>
      <c r="L20" s="57"/>
      <c r="M20" s="109"/>
      <c r="N20" s="110"/>
      <c r="O20" s="110"/>
      <c r="P20" s="110"/>
      <c r="Q20" s="111"/>
      <c r="R20" s="54">
        <v>21166</v>
      </c>
      <c r="S20" s="13"/>
      <c r="T20" s="13">
        <v>21166</v>
      </c>
      <c r="U20" s="13"/>
      <c r="V20" s="61">
        <f t="shared" si="6"/>
        <v>0</v>
      </c>
      <c r="W20" s="54">
        <v>21166</v>
      </c>
      <c r="X20" s="13"/>
      <c r="Y20" s="13">
        <v>21166</v>
      </c>
      <c r="Z20" s="13"/>
      <c r="AA20" s="61">
        <f t="shared" si="12"/>
        <v>0</v>
      </c>
      <c r="AB20" s="56"/>
      <c r="AC20" s="13"/>
      <c r="AD20" s="61"/>
      <c r="AE20" s="13"/>
      <c r="AF20" s="63">
        <f t="shared" si="21"/>
        <v>0</v>
      </c>
    </row>
    <row r="21" ht="16.5" spans="1:32">
      <c r="A21" s="113" t="s">
        <v>210</v>
      </c>
      <c r="B21" s="108"/>
      <c r="C21" s="56"/>
      <c r="D21" s="13"/>
      <c r="E21" s="13"/>
      <c r="F21" s="13"/>
      <c r="G21" s="63"/>
      <c r="H21" s="56"/>
      <c r="I21" s="13"/>
      <c r="J21" s="13"/>
      <c r="K21" s="13"/>
      <c r="L21" s="57"/>
      <c r="M21" s="109">
        <f>3822-2776</f>
        <v>1046</v>
      </c>
      <c r="N21" s="110"/>
      <c r="O21" s="110">
        <v>0</v>
      </c>
      <c r="P21" s="110"/>
      <c r="Q21" s="111">
        <f t="shared" ref="Q21:Q23" si="22">G21+N21+(M21-O21-P21)</f>
        <v>1046</v>
      </c>
      <c r="R21" s="54">
        <v>275</v>
      </c>
      <c r="S21" s="13"/>
      <c r="T21" s="13"/>
      <c r="U21" s="13"/>
      <c r="V21" s="61">
        <v>275</v>
      </c>
      <c r="W21" s="54">
        <v>275</v>
      </c>
      <c r="X21" s="13"/>
      <c r="Y21" s="13"/>
      <c r="Z21" s="13"/>
      <c r="AA21" s="61">
        <f t="shared" si="12"/>
        <v>1321</v>
      </c>
      <c r="AB21" s="79"/>
      <c r="AC21" s="80"/>
      <c r="AD21" s="61">
        <v>159</v>
      </c>
      <c r="AE21" s="80"/>
      <c r="AF21" s="63">
        <f t="shared" si="21"/>
        <v>1162</v>
      </c>
    </row>
    <row r="22" ht="16.5" spans="1:32">
      <c r="A22" s="113" t="s">
        <v>211</v>
      </c>
      <c r="B22" s="108">
        <v>10000</v>
      </c>
      <c r="C22" s="56">
        <f>15000+215100+74605</f>
        <v>304705</v>
      </c>
      <c r="D22" s="13"/>
      <c r="E22" s="13">
        <f>15000+74605+201231</f>
        <v>290836</v>
      </c>
      <c r="F22" s="13"/>
      <c r="G22" s="63">
        <f>B22+D22+(C22-E22-F22)</f>
        <v>23869</v>
      </c>
      <c r="H22" s="56">
        <v>207500</v>
      </c>
      <c r="I22" s="13"/>
      <c r="J22" s="13">
        <f>207500+21854</f>
        <v>229354</v>
      </c>
      <c r="K22" s="13"/>
      <c r="L22" s="57">
        <f>G22+H22+I22-J22-K22</f>
        <v>2015</v>
      </c>
      <c r="M22" s="109">
        <v>307746</v>
      </c>
      <c r="N22" s="110"/>
      <c r="O22" s="110">
        <f>156708+92956</f>
        <v>249664</v>
      </c>
      <c r="P22" s="110"/>
      <c r="Q22" s="111">
        <f t="shared" si="22"/>
        <v>81951</v>
      </c>
      <c r="R22" s="54">
        <v>210700</v>
      </c>
      <c r="S22" s="13"/>
      <c r="T22" s="13">
        <f>210700+81951</f>
        <v>292651</v>
      </c>
      <c r="U22" s="13"/>
      <c r="V22" s="61">
        <f t="shared" si="6"/>
        <v>0</v>
      </c>
      <c r="W22" s="54">
        <f>210700+149009</f>
        <v>359709</v>
      </c>
      <c r="X22" s="13"/>
      <c r="Y22" s="13">
        <f>125256+28900+90000-2400</f>
        <v>241756</v>
      </c>
      <c r="Z22" s="13"/>
      <c r="AA22" s="61">
        <f t="shared" si="12"/>
        <v>199904</v>
      </c>
      <c r="AB22" s="79"/>
      <c r="AC22" s="80"/>
      <c r="AD22" s="13">
        <v>199904</v>
      </c>
      <c r="AE22" s="80"/>
      <c r="AF22" s="63">
        <f t="shared" si="21"/>
        <v>0</v>
      </c>
    </row>
    <row r="23" ht="17.25" spans="1:32">
      <c r="A23" s="113" t="s">
        <v>212</v>
      </c>
      <c r="B23" s="114"/>
      <c r="C23" s="87"/>
      <c r="D23" s="88"/>
      <c r="E23" s="88"/>
      <c r="F23" s="88"/>
      <c r="G23" s="89">
        <f>B23+D23+(C23-E23-F23)</f>
        <v>0</v>
      </c>
      <c r="H23" s="87">
        <v>7747</v>
      </c>
      <c r="I23" s="88"/>
      <c r="J23" s="88">
        <v>7747</v>
      </c>
      <c r="K23" s="88"/>
      <c r="L23" s="90">
        <f>G23+H23+I23-J23-K23</f>
        <v>0</v>
      </c>
      <c r="M23" s="115">
        <v>7747</v>
      </c>
      <c r="N23" s="116"/>
      <c r="O23" s="116">
        <v>7747</v>
      </c>
      <c r="P23" s="116"/>
      <c r="Q23" s="117">
        <f t="shared" si="22"/>
        <v>0</v>
      </c>
      <c r="R23" s="87">
        <v>67260</v>
      </c>
      <c r="S23" s="94"/>
      <c r="T23" s="94">
        <v>67260</v>
      </c>
      <c r="U23" s="94"/>
      <c r="V23" s="95">
        <f t="shared" si="6"/>
        <v>0</v>
      </c>
      <c r="W23" s="87">
        <v>67260</v>
      </c>
      <c r="X23" s="94"/>
      <c r="Y23" s="94">
        <v>67260</v>
      </c>
      <c r="Z23" s="94"/>
      <c r="AA23" s="95">
        <f>V23+W23+X23-Y23-Z23</f>
        <v>0</v>
      </c>
      <c r="AB23" s="87">
        <f>表3!D21</f>
        <v>16138</v>
      </c>
      <c r="AC23" s="88">
        <v>21240</v>
      </c>
      <c r="AD23" s="88">
        <v>52166</v>
      </c>
      <c r="AE23" s="88"/>
      <c r="AF23" s="89">
        <f t="shared" si="21"/>
        <v>-14788</v>
      </c>
    </row>
    <row r="24" spans="1:32">
      <c r="A24" s="97"/>
      <c r="B24" s="97"/>
      <c r="C24" s="97"/>
      <c r="D24" s="97"/>
      <c r="E24" s="97"/>
      <c r="F24" s="97"/>
      <c r="G24" s="98"/>
      <c r="H24" s="97"/>
      <c r="I24" s="97"/>
      <c r="J24" s="97"/>
      <c r="K24" s="97"/>
      <c r="L24" s="97"/>
    </row>
    <row r="25" spans="1:32">
      <c r="A25" s="97"/>
      <c r="B25" s="97"/>
      <c r="C25" s="97"/>
      <c r="D25" s="97"/>
      <c r="E25" s="97"/>
      <c r="F25" s="97"/>
      <c r="G25" s="98"/>
      <c r="H25" s="97"/>
      <c r="I25" s="97"/>
      <c r="J25" s="97">
        <f>G4+H4-J4-K4</f>
        <v>-11913</v>
      </c>
      <c r="K25" s="97"/>
      <c r="L25" s="97"/>
    </row>
    <row r="28" spans="1:32">
      <c r="AB28" s="26" t="s">
        <v>213</v>
      </c>
      <c r="AC28" s="26">
        <f>33369-29355</f>
        <v>4014</v>
      </c>
    </row>
    <row r="29" spans="1:32">
      <c r="AB29" s="26" t="s">
        <v>214</v>
      </c>
      <c r="AC29" s="26">
        <f>52166-30926</f>
        <v>21240</v>
      </c>
    </row>
    <row r="30" spans="1:32">
      <c r="Z30" s="100" t="s">
        <v>215</v>
      </c>
      <c r="AA30" s="100"/>
      <c r="AC30" s="26">
        <f>33369+230</f>
        <v>33599</v>
      </c>
    </row>
    <row r="31" spans="1:32">
      <c r="Z31" s="101" t="s">
        <v>201</v>
      </c>
      <c r="AA31" s="101"/>
      <c r="AB31" s="101"/>
      <c r="AC31" s="26">
        <f>29355+230</f>
        <v>29585</v>
      </c>
    </row>
  </sheetData>
  <mergeCells count="9">
    <mergeCell ref="A1:L1"/>
    <mergeCell ref="C2:G2"/>
    <mergeCell ref="H2:L2"/>
    <mergeCell ref="M2:Q2"/>
    <mergeCell ref="R2:V2"/>
    <mergeCell ref="W2:AA2"/>
    <mergeCell ref="AB2:AF2"/>
    <mergeCell ref="Z30:AB30"/>
    <mergeCell ref="Z31:AB31"/>
  </mergeCells>
  <pageMargins left="0.75" right="0.75" top="1" bottom="1" header="0.5" footer="0.5"/>
  <pageSetup paperSize="9" scale="70" fitToHeight="0" orientation="landscape"/>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3" master="" otherUserPermission="visible"/>
  <rangeList sheetStid="10" master="" otherUserPermission="visible"/>
  <rangeList sheetStid="4" master="" otherUserPermission="visible"/>
  <rangeList sheetStid="9" master="" otherUserPermission="visible"/>
  <rangeList sheetStid="5" master="" otherUserPermission="visible"/>
  <rangeList sheetStid="7" master="" otherUserPermission="visible"/>
  <rangeList sheetStid="8" master="" otherUserPermission="visible"/>
  <rangeList sheetStid="18" master="" otherUserPermission="visible"/>
  <rangeList sheetStid="19" master="" otherUserPermission="visible"/>
  <rangeList sheetStid="15" master="" otherUserPermission="visible"/>
  <rangeList sheetStid="16" master="" otherUserPermission="visible"/>
  <rangeList sheetStid="1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表1</vt:lpstr>
      <vt:lpstr>表2</vt:lpstr>
      <vt:lpstr>表3</vt:lpstr>
      <vt:lpstr>表3-原表</vt:lpstr>
      <vt:lpstr>表4</vt:lpstr>
      <vt:lpstr>表5</vt:lpstr>
      <vt:lpstr>表6</vt:lpstr>
      <vt:lpstr>表7</vt:lpstr>
      <vt:lpstr>2025年政府性基金节余明细（非打印表）</vt:lpstr>
      <vt:lpstr>2026年政府性基金节余明细（非打印表） (2)</vt:lpstr>
      <vt:lpstr>2023还本付息(非打印表）</vt:lpstr>
      <vt:lpstr>年终结余2 (非打印表)</vt:lpstr>
      <vt:lpstr>年终结余 (非打印表）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翟中义。</cp:lastModifiedBy>
  <dcterms:created xsi:type="dcterms:W3CDTF">2022-01-12T09:34:00Z</dcterms:created>
  <cp:lastPrinted>2022-12-29T03:27:00Z</cp:lastPrinted>
  <dcterms:modified xsi:type="dcterms:W3CDTF">2026-01-04T06:32:47Z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17e3b612</vt:lpwstr>
  </property>
  <property fmtid="{D5CDD505-2E9C-101B-9397-08002B2CF9AE}" pid="3" name="KSOProductBuildVer">
    <vt:lpwstr>2052-12.1.0.24034</vt:lpwstr>
  </property>
  <property fmtid="{D5CDD505-2E9C-101B-9397-08002B2CF9AE}" pid="4" name="ICV">
    <vt:lpwstr>616BC64F07FD4A0787D20DC451CB427B_13</vt:lpwstr>
  </property>
  <property fmtid="{D5CDD505-2E9C-101B-9397-08002B2CF9AE}" pid="5" name="KSOReadingLayout">
    <vt:bool>true</vt:bool>
  </property>
  <property fmtid="{D5CDD505-2E9C-101B-9397-08002B2CF9AE}" pid="6" name="CalculationRule">
    <vt:i4>0</vt:i4>
  </property>
</Properties>
</file>